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4981" windowWidth="19320" windowHeight="12120" activeTab="1"/>
  </bookViews>
  <sheets>
    <sheet name="profil" sheetId="1" r:id="rId1"/>
    <sheet name="calculs" sheetId="2" r:id="rId2"/>
  </sheets>
  <definedNames>
    <definedName name="_xlnm.Print_Area" localSheetId="1">'calculs'!$A$1:$M$83</definedName>
  </definedNames>
  <calcPr fullCalcOnLoad="1"/>
</workbook>
</file>

<file path=xl/sharedStrings.xml><?xml version="1.0" encoding="utf-8"?>
<sst xmlns="http://schemas.openxmlformats.org/spreadsheetml/2006/main" count="74" uniqueCount="72">
  <si>
    <t>remarque : si rm non contraint d5=0 et km = 6*(d1*(1-m)-2*(t/2-e/2)+d2/2*(1-m)^2)/(1-m)^2</t>
  </si>
  <si>
    <t>a2 = 5 / 4 * a0 / m ^ 1.5 - 3 * t / 2 / m ^ 2 - km</t>
  </si>
  <si>
    <t xml:space="preserve">km = 1/rm </t>
  </si>
  <si>
    <t>rl=rayon relatif de bord d'attaque, leading edge</t>
  </si>
  <si>
    <t>kl = 1/rl  (courbure de bord d'attaque)</t>
  </si>
  <si>
    <t>rt=rayon relatif au bord de fuite, trailing edge</t>
  </si>
  <si>
    <t>kt = 1/rt (courbure de bord de fuite)</t>
  </si>
  <si>
    <t>e (épaisseur relative du bord de fuite, trailing edge)</t>
  </si>
  <si>
    <t>d0 = e/2    '1/2 epaisseur relative du bord de fuite</t>
  </si>
  <si>
    <t>d4 = -15/(1-m)^4*(t/2-e/2)+8*d1/(1-m)^3-1/rm/(1-m)^2+3*d2/(1-m)^2</t>
  </si>
  <si>
    <t>d5 = 6*(t/2-e/2)/(1-m)^5-3*d1/(1-m)^4+1/2/rm/(1-m)^3-d2/(1-m)^3</t>
  </si>
  <si>
    <t xml:space="preserve">remarque : arrière NACA standard si d4=d5=0 et d1=tan(teta)=-(16.875 * m * m - 7.25 * m + 1.775) * t  </t>
  </si>
  <si>
    <t xml:space="preserve">t (épaisseur max relative) : </t>
  </si>
  <si>
    <t>x</t>
  </si>
  <si>
    <t>X</t>
  </si>
  <si>
    <t>naca_avant_standard</t>
  </si>
  <si>
    <t>m (position relative de l'épaisseur maxi du profil) :</t>
  </si>
  <si>
    <t>naca_arriere_pente imposée</t>
  </si>
  <si>
    <t>tan(teta)  '1/2 angle de bord de fuite</t>
  </si>
  <si>
    <t>a0 = SQR(2 * rl)</t>
  </si>
  <si>
    <t>rm (rayon de courbure relatif au point d'épaisseur max, selon type BF)</t>
  </si>
  <si>
    <t>a3 = (a0 / 2 * SQR(m) - a2 * m ^ 2 - t / 2) / 2 / m ^ 3</t>
  </si>
  <si>
    <t>a1 = -a0 / 2 / SQR(m) - 2 * a2 * m - 3 * a3 * m ^ 2</t>
  </si>
  <si>
    <t>y</t>
  </si>
  <si>
    <t>Y</t>
  </si>
  <si>
    <t>yle=a0*racine(x)+a1*x+a2*x^2+a3*x^3</t>
  </si>
  <si>
    <t>leading edge</t>
  </si>
  <si>
    <t>trailing edge</t>
  </si>
  <si>
    <t>yte=d0+d1*(1-x)+d2*(1-x)^2+d3*(1-x)^3+d4*(1-x)^4+d5*(1-x)^5</t>
  </si>
  <si>
    <t>d1 =  tan(teta)     'tangente au bord de fuite</t>
  </si>
  <si>
    <t>remarque : arrière pincé si tan(teta)=0 -&gt; d1 = 0</t>
  </si>
  <si>
    <t>Y'</t>
  </si>
  <si>
    <t>remarque : arrière plan si kt=1/rt=0 -&gt; d2=0</t>
  </si>
  <si>
    <t>(0&lt;x&lt;m)</t>
  </si>
  <si>
    <t>Xm (position de l'épaisseur maxi)</t>
  </si>
  <si>
    <t>Rt (rayon au bord de fuite)</t>
  </si>
  <si>
    <t>Rm (rayon de courbure au point d'épaisseur max)</t>
  </si>
  <si>
    <t>Rl (rayon de courbure de bord d'attaque)</t>
  </si>
  <si>
    <t>(en mm)</t>
  </si>
  <si>
    <t xml:space="preserve"> </t>
  </si>
  <si>
    <t xml:space="preserve">profil "NACA" modifié    </t>
  </si>
  <si>
    <t>équations du profil (en coordonnées réduites : x=X/C, y=Y/C) :</t>
  </si>
  <si>
    <t>(m&lt;x&lt;1)</t>
  </si>
  <si>
    <t>d2 =(1+d1^2)^(3/2)/2*kt  (si kt=0, d2=0)</t>
  </si>
  <si>
    <t>d3 = 10/(1-m)^3*(t/2-d0)-6*d1/(1-m)^2+1/2/rm/(1-m)-3*d2/(1-m)</t>
  </si>
  <si>
    <t>A0=racine(2*Rl)</t>
  </si>
  <si>
    <t>A1=[-A0/2/racine(Xm)-2*A2*Xm-3*A3*Xm^2]</t>
  </si>
  <si>
    <t>A2={1/2*[Xm^2/Rm+A0/4*racine(Xm)]-3*A3*Xm^3}/Xm^2</t>
  </si>
  <si>
    <t>D0=Ym=T/2</t>
  </si>
  <si>
    <t>D1=0</t>
  </si>
  <si>
    <t>D2=1/2/Rm</t>
  </si>
  <si>
    <t>D3=10*K1-4*K2+K3</t>
  </si>
  <si>
    <t>D4=(-15*K1+7*K2-2*K3)/Xt</t>
  </si>
  <si>
    <t>D5=(6*K1-3*K2+K3)/Xt^2</t>
  </si>
  <si>
    <t>K2=-(|tg(teta)|+D1+2*D2*Xt)/Xt^2</t>
  </si>
  <si>
    <t>K3=((1+tg(teta)^2)^(3/2)/Rt-2*D2)/2/Xt</t>
  </si>
  <si>
    <t>K1=(Yt/2-D0-D1*Xt-D2*Xt^2)/Xt^3</t>
  </si>
  <si>
    <t>Xt=(C-X'm)</t>
  </si>
  <si>
    <t>où</t>
  </si>
  <si>
    <t>coordonnées réelles de base d'un profil symétrique</t>
  </si>
  <si>
    <t>Yt (1/2 épaisseur de bord de fuite)</t>
  </si>
  <si>
    <t>A3=-3/Xm^3*[-1/6*Xm^2/Rm+A0/8*racine(Xm)-1/3*Ym)]</t>
  </si>
  <si>
    <t>paramètres des équations adimensionnées du profil NACA symétrique :</t>
  </si>
  <si>
    <t>Ym (1/2 épaisseur maxi du profil =T/2)</t>
  </si>
  <si>
    <t>équations du profil :</t>
  </si>
  <si>
    <t>Yle=A0*racine(X)+A1*X+A2*X^2+A3*X^3</t>
  </si>
  <si>
    <t>(0&lt;X&lt;Xm)</t>
  </si>
  <si>
    <t>Yte=d0+d1*(1-x)+d2*(1-x)^2+d3*(1-x)^3+d4*(1-x)^4+d5*(1-x)^5</t>
  </si>
  <si>
    <t>(Xm&lt;X&lt;C)</t>
  </si>
  <si>
    <t>paramètres des courbes réelles :</t>
  </si>
  <si>
    <t>C (corde/longueur totale en mm) :</t>
  </si>
  <si>
    <t>valeurs  pouvant être changées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</si>
</sst>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"/>
    <numFmt numFmtId="173" formatCode="0.0"/>
    <numFmt numFmtId="174" formatCode="0.000"/>
    <numFmt numFmtId="175" formatCode="0.0000"/>
    <numFmt numFmtId="176" formatCode="0.0000E+00"/>
    <numFmt numFmtId="177" formatCode="0.000E+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5" fontId="0" fillId="0" borderId="15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Border="1" applyAlignment="1">
      <alignment horizontal="right"/>
    </xf>
    <xf numFmtId="17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24" borderId="10" xfId="0" applyFill="1" applyBorder="1" applyAlignment="1">
      <alignment horizontal="center"/>
    </xf>
    <xf numFmtId="173" fontId="0" fillId="24" borderId="12" xfId="0" applyNumberFormat="1" applyFill="1" applyBorder="1" applyAlignment="1">
      <alignment horizontal="center"/>
    </xf>
    <xf numFmtId="173" fontId="0" fillId="24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24" borderId="11" xfId="0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3" fillId="0" borderId="14" xfId="0" applyFont="1" applyBorder="1" applyAlignment="1" quotePrefix="1">
      <alignment/>
    </xf>
    <xf numFmtId="17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173" fontId="0" fillId="25" borderId="16" xfId="0" applyNumberFormat="1" applyFill="1" applyBorder="1" applyAlignment="1">
      <alignment horizontal="center"/>
    </xf>
    <xf numFmtId="173" fontId="0" fillId="25" borderId="12" xfId="0" applyNumberFormat="1" applyFill="1" applyBorder="1" applyAlignment="1">
      <alignment horizontal="center"/>
    </xf>
    <xf numFmtId="173" fontId="0" fillId="25" borderId="18" xfId="0" applyNumberFormat="1" applyFill="1" applyBorder="1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0" fillId="0" borderId="10" xfId="0" applyFont="1" applyBorder="1" applyAlignment="1">
      <alignment/>
    </xf>
    <xf numFmtId="177" fontId="0" fillId="0" borderId="15" xfId="0" applyNumberFormat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3" xfId="0" applyFont="1" applyBorder="1" applyAlignment="1">
      <alignment/>
    </xf>
    <xf numFmtId="177" fontId="0" fillId="0" borderId="17" xfId="0" applyNumberFormat="1" applyBorder="1" applyAlignment="1">
      <alignment/>
    </xf>
    <xf numFmtId="0" fontId="0" fillId="24" borderId="18" xfId="0" applyFill="1" applyBorder="1" applyAlignment="1">
      <alignment/>
    </xf>
    <xf numFmtId="0" fontId="2" fillId="24" borderId="18" xfId="0" applyFont="1" applyFill="1" applyBorder="1" applyAlignment="1">
      <alignment horizontal="center"/>
    </xf>
    <xf numFmtId="0" fontId="0" fillId="24" borderId="18" xfId="0" applyFont="1" applyFill="1" applyBorder="1" applyAlignment="1">
      <alignment/>
    </xf>
    <xf numFmtId="2" fontId="2" fillId="24" borderId="1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</a:t>
            </a:r>
          </a:p>
        </c:rich>
      </c:tx>
      <c:layout>
        <c:manualLayout>
          <c:xMode val="factor"/>
          <c:yMode val="factor"/>
          <c:x val="-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4725"/>
          <c:w val="0.82425"/>
          <c:h val="0.2035"/>
        </c:manualLayout>
      </c:layout>
      <c:scatterChart>
        <c:scatterStyle val="smoothMarker"/>
        <c:varyColors val="0"/>
        <c:ser>
          <c:idx val="0"/>
          <c:order val="0"/>
          <c:tx>
            <c:v>profil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calculs!$K$14:$K$69</c:f>
              <c:numCache>
                <c:ptCount val="56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28</c:v>
                </c:pt>
                <c:pt idx="4">
                  <c:v>56</c:v>
                </c:pt>
                <c:pt idx="5">
                  <c:v>84</c:v>
                </c:pt>
                <c:pt idx="6">
                  <c:v>112</c:v>
                </c:pt>
                <c:pt idx="7">
                  <c:v>140</c:v>
                </c:pt>
                <c:pt idx="8">
                  <c:v>168</c:v>
                </c:pt>
                <c:pt idx="9">
                  <c:v>224</c:v>
                </c:pt>
                <c:pt idx="10">
                  <c:v>280</c:v>
                </c:pt>
                <c:pt idx="11">
                  <c:v>336</c:v>
                </c:pt>
                <c:pt idx="12">
                  <c:v>392.00000000000006</c:v>
                </c:pt>
                <c:pt idx="13">
                  <c:v>448</c:v>
                </c:pt>
                <c:pt idx="14">
                  <c:v>504</c:v>
                </c:pt>
                <c:pt idx="15">
                  <c:v>560</c:v>
                </c:pt>
                <c:pt idx="16">
                  <c:v>615.9999999999999</c:v>
                </c:pt>
                <c:pt idx="17">
                  <c:v>671.9999999999999</c:v>
                </c:pt>
                <c:pt idx="18">
                  <c:v>727.9999999999999</c:v>
                </c:pt>
                <c:pt idx="19">
                  <c:v>783.9999999999999</c:v>
                </c:pt>
                <c:pt idx="20">
                  <c:v>840</c:v>
                </c:pt>
                <c:pt idx="21">
                  <c:v>896</c:v>
                </c:pt>
                <c:pt idx="22">
                  <c:v>952.0000000000001</c:v>
                </c:pt>
                <c:pt idx="23">
                  <c:v>1008.0000000000001</c:v>
                </c:pt>
                <c:pt idx="24">
                  <c:v>1064.0000000000002</c:v>
                </c:pt>
                <c:pt idx="25">
                  <c:v>1120.0000000000002</c:v>
                </c:pt>
                <c:pt idx="26">
                  <c:v>1176.0000000000002</c:v>
                </c:pt>
                <c:pt idx="27">
                  <c:v>1232.0000000000002</c:v>
                </c:pt>
                <c:pt idx="28">
                  <c:v>1288.0000000000005</c:v>
                </c:pt>
                <c:pt idx="29">
                  <c:v>1344.0000000000005</c:v>
                </c:pt>
                <c:pt idx="30">
                  <c:v>1400.0000000000002</c:v>
                </c:pt>
                <c:pt idx="31">
                  <c:v>1456.0000000000005</c:v>
                </c:pt>
                <c:pt idx="32">
                  <c:v>1512.0000000000005</c:v>
                </c:pt>
                <c:pt idx="33">
                  <c:v>1568.0000000000005</c:v>
                </c:pt>
                <c:pt idx="34">
                  <c:v>1624.0000000000005</c:v>
                </c:pt>
                <c:pt idx="35">
                  <c:v>1680.0000000000005</c:v>
                </c:pt>
                <c:pt idx="36">
                  <c:v>1736.0000000000007</c:v>
                </c:pt>
                <c:pt idx="37">
                  <c:v>1792.0000000000007</c:v>
                </c:pt>
                <c:pt idx="38">
                  <c:v>1848.0000000000007</c:v>
                </c:pt>
                <c:pt idx="39">
                  <c:v>1904.0000000000007</c:v>
                </c:pt>
                <c:pt idx="40">
                  <c:v>1960.000000000001</c:v>
                </c:pt>
                <c:pt idx="41">
                  <c:v>2016.000000000001</c:v>
                </c:pt>
                <c:pt idx="42">
                  <c:v>2072.000000000001</c:v>
                </c:pt>
                <c:pt idx="43">
                  <c:v>2128.000000000001</c:v>
                </c:pt>
                <c:pt idx="44">
                  <c:v>2184.000000000001</c:v>
                </c:pt>
                <c:pt idx="45">
                  <c:v>2240.000000000001</c:v>
                </c:pt>
                <c:pt idx="46">
                  <c:v>2296.000000000001</c:v>
                </c:pt>
                <c:pt idx="47">
                  <c:v>2352.0000000000014</c:v>
                </c:pt>
                <c:pt idx="48">
                  <c:v>2408.0000000000014</c:v>
                </c:pt>
                <c:pt idx="49">
                  <c:v>2464.0000000000014</c:v>
                </c:pt>
                <c:pt idx="50">
                  <c:v>2520.0000000000014</c:v>
                </c:pt>
                <c:pt idx="51">
                  <c:v>2576.0000000000014</c:v>
                </c:pt>
                <c:pt idx="52">
                  <c:v>2632.0000000000014</c:v>
                </c:pt>
                <c:pt idx="53">
                  <c:v>2688.0000000000014</c:v>
                </c:pt>
                <c:pt idx="54">
                  <c:v>2744.0000000000014</c:v>
                </c:pt>
                <c:pt idx="55">
                  <c:v>2800.0000000000014</c:v>
                </c:pt>
              </c:numCache>
            </c:numRef>
          </c:xVal>
          <c:yVal>
            <c:numRef>
              <c:f>calculs!$M$14:$M$69</c:f>
              <c:numCache>
                <c:ptCount val="56"/>
                <c:pt idx="0">
                  <c:v>0</c:v>
                </c:pt>
                <c:pt idx="1">
                  <c:v>42.19233117363003</c:v>
                </c:pt>
                <c:pt idx="2">
                  <c:v>60.326815380517466</c:v>
                </c:pt>
                <c:pt idx="3">
                  <c:v>86.50875709310537</c:v>
                </c:pt>
                <c:pt idx="4">
                  <c:v>124.25165634963585</c:v>
                </c:pt>
                <c:pt idx="5">
                  <c:v>153.37279654571947</c:v>
                </c:pt>
                <c:pt idx="6">
                  <c:v>177.70748884166053</c:v>
                </c:pt>
                <c:pt idx="7">
                  <c:v>198.7562621905421</c:v>
                </c:pt>
                <c:pt idx="8">
                  <c:v>217.30056904476479</c:v>
                </c:pt>
                <c:pt idx="9">
                  <c:v>248.61558864801722</c:v>
                </c:pt>
                <c:pt idx="10">
                  <c:v>273.935358677847</c:v>
                </c:pt>
                <c:pt idx="11">
                  <c:v>294.52576242103413</c:v>
                </c:pt>
                <c:pt idx="12">
                  <c:v>311.21805924206586</c:v>
                </c:pt>
                <c:pt idx="13">
                  <c:v>324.62189793102755</c:v>
                </c:pt>
                <c:pt idx="14">
                  <c:v>335.22037394226857</c:v>
                </c:pt>
                <c:pt idx="15">
                  <c:v>343.4183185338717</c:v>
                </c:pt>
                <c:pt idx="16">
                  <c:v>349.56920109172796</c:v>
                </c:pt>
                <c:pt idx="17">
                  <c:v>353.99119458407574</c:v>
                </c:pt>
                <c:pt idx="18">
                  <c:v>356.97730525402585</c:v>
                </c:pt>
                <c:pt idx="19">
                  <c:v>358.80204539071076</c:v>
                </c:pt>
                <c:pt idx="20">
                  <c:v>359.7259902538424</c:v>
                </c:pt>
                <c:pt idx="21">
                  <c:v>359.9989855829627</c:v>
                </c:pt>
                <c:pt idx="22">
                  <c:v>359.81463381619</c:v>
                </c:pt>
                <c:pt idx="23">
                  <c:v>359.130214199901</c:v>
                </c:pt>
                <c:pt idx="24">
                  <c:v>357.84601175344</c:v>
                </c:pt>
                <c:pt idx="25">
                  <c:v>355.88031370646905</c:v>
                </c:pt>
                <c:pt idx="26">
                  <c:v>353.1683165941333</c:v>
                </c:pt>
                <c:pt idx="27">
                  <c:v>349.66101118240823</c:v>
                </c:pt>
                <c:pt idx="28">
                  <c:v>345.32406739344856</c:v>
                </c:pt>
                <c:pt idx="29">
                  <c:v>340.1367192309365</c:v>
                </c:pt>
                <c:pt idx="30">
                  <c:v>334.0906497054301</c:v>
                </c:pt>
                <c:pt idx="31">
                  <c:v>327.1888757597112</c:v>
                </c:pt>
                <c:pt idx="32">
                  <c:v>319.44463319413455</c:v>
                </c:pt>
                <c:pt idx="33">
                  <c:v>310.8802615919754</c:v>
                </c:pt>
                <c:pt idx="34">
                  <c:v>301.5260892447782</c:v>
                </c:pt>
                <c:pt idx="35">
                  <c:v>291.4193180777049</c:v>
                </c:pt>
                <c:pt idx="36">
                  <c:v>280.6029085748832</c:v>
                </c:pt>
                <c:pt idx="37">
                  <c:v>269.12446470475516</c:v>
                </c:pt>
                <c:pt idx="38">
                  <c:v>257.0351188454249</c:v>
                </c:pt>
                <c:pt idx="39">
                  <c:v>244.38841671000768</c:v>
                </c:pt>
                <c:pt idx="40">
                  <c:v>231.23920227197777</c:v>
                </c:pt>
                <c:pt idx="41">
                  <c:v>217.64250269051706</c:v>
                </c:pt>
                <c:pt idx="42">
                  <c:v>203.65241323586315</c:v>
                </c:pt>
                <c:pt idx="43">
                  <c:v>189.32098221465782</c:v>
                </c:pt>
                <c:pt idx="44">
                  <c:v>174.69709589529532</c:v>
                </c:pt>
                <c:pt idx="45">
                  <c:v>159.8253634332707</c:v>
                </c:pt>
                <c:pt idx="46">
                  <c:v>144.74500179652838</c:v>
                </c:pt>
                <c:pt idx="47">
                  <c:v>129.48872069080986</c:v>
                </c:pt>
                <c:pt idx="48">
                  <c:v>114.0816074850031</c:v>
                </c:pt>
                <c:pt idx="49">
                  <c:v>98.54001213648979</c:v>
                </c:pt>
                <c:pt idx="50">
                  <c:v>82.87043211649424</c:v>
                </c:pt>
                <c:pt idx="51">
                  <c:v>67.06839733543154</c:v>
                </c:pt>
                <c:pt idx="52">
                  <c:v>51.11735506825596</c:v>
                </c:pt>
                <c:pt idx="53">
                  <c:v>34.98755487980958</c:v>
                </c:pt>
                <c:pt idx="54">
                  <c:v>18.63493355017016</c:v>
                </c:pt>
                <c:pt idx="55">
                  <c:v>1.999999999999261</c:v>
                </c:pt>
              </c:numCache>
            </c:numRef>
          </c:yVal>
          <c:smooth val="1"/>
        </c:ser>
        <c:axId val="35483265"/>
        <c:axId val="50913930"/>
      </c:scatterChart>
      <c:val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crossBetween val="midCat"/>
        <c:dispUnits/>
        <c:majorUnit val="100"/>
      </c:val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"/>
              <c:y val="0.0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en coordonnées réduites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8075"/>
          <c:w val="0.98625"/>
          <c:h val="0.65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calculs!$I$14:$I$69</c:f>
              <c:numCache/>
            </c:numRef>
          </c:xVal>
          <c:yVal>
            <c:numRef>
              <c:f>calculs!$J$14:$J$69</c:f>
              <c:numCache/>
            </c:numRef>
          </c:yVal>
          <c:smooth val="1"/>
        </c:ser>
        <c:axId val="55572187"/>
        <c:axId val="30387636"/>
      </c:scatterChart>
      <c:valAx>
        <c:axId val="555721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x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crossBetween val="midCat"/>
        <c:dispUnits/>
        <c:majorUnit val="0.05"/>
      </c:valAx>
      <c:valAx>
        <c:axId val="303876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75</xdr:row>
      <xdr:rowOff>9525</xdr:rowOff>
    </xdr:from>
    <xdr:to>
      <xdr:col>12</xdr:col>
      <xdr:colOff>371475</xdr:colOff>
      <xdr:row>90</xdr:row>
      <xdr:rowOff>9525</xdr:rowOff>
    </xdr:to>
    <xdr:graphicFrame>
      <xdr:nvGraphicFramePr>
        <xdr:cNvPr id="1" name="Chart 1"/>
        <xdr:cNvGraphicFramePr/>
      </xdr:nvGraphicFramePr>
      <xdr:xfrm>
        <a:off x="447675" y="12192000"/>
        <a:ext cx="103155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tabSelected="1" zoomScale="75" zoomScaleNormal="75" zoomScalePageLayoutView="0" workbookViewId="0" topLeftCell="A1">
      <pane ySplit="21" topLeftCell="BM22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3" max="3" width="32.140625" style="0" customWidth="1"/>
    <col min="4" max="4" width="16.140625" style="0" customWidth="1"/>
    <col min="5" max="5" width="13.57421875" style="0" customWidth="1"/>
    <col min="6" max="6" width="4.57421875" style="0" customWidth="1"/>
    <col min="7" max="7" width="14.140625" style="0" customWidth="1"/>
    <col min="8" max="8" width="5.28125" style="0" customWidth="1"/>
    <col min="9" max="9" width="11.57421875" style="9" bestFit="1" customWidth="1"/>
    <col min="10" max="10" width="12.421875" style="9" customWidth="1"/>
    <col min="11" max="13" width="11.57421875" style="0" bestFit="1" customWidth="1"/>
    <col min="14" max="14" width="10.8515625" style="20" customWidth="1"/>
    <col min="17" max="17" width="12.57421875" style="0" customWidth="1"/>
    <col min="18" max="18" width="13.00390625" style="0" customWidth="1"/>
  </cols>
  <sheetData>
    <row r="1" spans="9:14" ht="12.75">
      <c r="I1"/>
      <c r="J1"/>
      <c r="N1"/>
    </row>
    <row r="2" spans="1:14" ht="15.75" customHeight="1">
      <c r="A2" s="21" t="s">
        <v>40</v>
      </c>
      <c r="E2" s="21"/>
      <c r="I2"/>
      <c r="J2"/>
      <c r="N2"/>
    </row>
    <row r="3" spans="1:14" ht="12.75">
      <c r="A3" s="1"/>
      <c r="I3"/>
      <c r="J3"/>
      <c r="N3"/>
    </row>
    <row r="4" spans="1:14" ht="12.75">
      <c r="A4" s="6" t="s">
        <v>64</v>
      </c>
      <c r="B4" s="6"/>
      <c r="F4" s="6"/>
      <c r="I4"/>
      <c r="J4"/>
      <c r="N4"/>
    </row>
    <row r="5" spans="1:14" ht="12.75">
      <c r="A5" s="3" t="s">
        <v>65</v>
      </c>
      <c r="B5" s="4"/>
      <c r="C5" s="4"/>
      <c r="D5" s="28" t="s">
        <v>66</v>
      </c>
      <c r="E5" s="23" t="s">
        <v>26</v>
      </c>
      <c r="I5"/>
      <c r="J5"/>
      <c r="N5"/>
    </row>
    <row r="6" spans="1:14" ht="12.75" customHeight="1">
      <c r="A6" s="7" t="s">
        <v>67</v>
      </c>
      <c r="B6" s="8"/>
      <c r="C6" s="8"/>
      <c r="D6" s="14" t="s">
        <v>68</v>
      </c>
      <c r="E6" s="18" t="s">
        <v>27</v>
      </c>
      <c r="G6" s="27"/>
      <c r="I6"/>
      <c r="J6"/>
      <c r="N6"/>
    </row>
    <row r="7" spans="1:14" ht="12.75">
      <c r="A7" s="1"/>
      <c r="I7"/>
      <c r="J7"/>
      <c r="N7"/>
    </row>
    <row r="8" spans="1:10" ht="12.75" customHeight="1">
      <c r="A8" s="6" t="s">
        <v>41</v>
      </c>
      <c r="B8" s="6"/>
      <c r="F8" s="6"/>
      <c r="G8" s="27"/>
      <c r="I8"/>
      <c r="J8"/>
    </row>
    <row r="9" spans="1:10" ht="12.75" customHeight="1">
      <c r="A9" s="3" t="s">
        <v>25</v>
      </c>
      <c r="B9" s="4"/>
      <c r="C9" s="4"/>
      <c r="D9" s="28" t="s">
        <v>33</v>
      </c>
      <c r="E9" s="23" t="s">
        <v>26</v>
      </c>
      <c r="I9"/>
      <c r="J9"/>
    </row>
    <row r="10" spans="1:50" ht="12.75">
      <c r="A10" s="7" t="s">
        <v>28</v>
      </c>
      <c r="B10" s="8"/>
      <c r="C10" s="8"/>
      <c r="D10" s="14" t="s">
        <v>42</v>
      </c>
      <c r="E10" s="18" t="s">
        <v>27</v>
      </c>
      <c r="K10" s="15"/>
      <c r="N10" s="3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12.75">
      <c r="K11" s="15"/>
    </row>
    <row r="12" ht="12.75">
      <c r="K12" s="15"/>
    </row>
    <row r="13" spans="1:13" ht="12.75">
      <c r="A13" s="22" t="s">
        <v>59</v>
      </c>
      <c r="B13" s="22"/>
      <c r="C13" s="22"/>
      <c r="D13" s="27" t="s">
        <v>38</v>
      </c>
      <c r="F13" s="6"/>
      <c r="G13" s="27"/>
      <c r="I13" s="10" t="s">
        <v>13</v>
      </c>
      <c r="J13" s="10" t="s">
        <v>23</v>
      </c>
      <c r="K13" s="24" t="s">
        <v>14</v>
      </c>
      <c r="L13" s="31" t="s">
        <v>24</v>
      </c>
      <c r="M13" s="36" t="s">
        <v>31</v>
      </c>
    </row>
    <row r="14" spans="1:13" ht="12.75">
      <c r="A14" s="51" t="s">
        <v>70</v>
      </c>
      <c r="B14" s="51"/>
      <c r="C14" s="52"/>
      <c r="D14" s="52">
        <v>2800</v>
      </c>
      <c r="E14" s="55" t="s">
        <v>71</v>
      </c>
      <c r="I14" s="10">
        <v>0</v>
      </c>
      <c r="J14" s="10">
        <f aca="true" t="shared" si="0" ref="J14:J45">IF(I14&lt;$G$45,$G$68*SQRT(I14)+$G$71*I14+$G$69*I14^2+$G$70*I14^3,$G$56+$G$57*(1-I14)+$G$58*(1-I14)^2+$G$59*(1-I14)^3+$G$60*(1-I14)^4+$G$61*(1-I14)^5)</f>
        <v>0</v>
      </c>
      <c r="K14" s="25">
        <f>I14*$D$14</f>
        <v>0</v>
      </c>
      <c r="L14" s="26">
        <f>J14*$D$14</f>
        <v>0</v>
      </c>
      <c r="M14" s="37">
        <f>IF(K14&lt;$D$16,$G$25*SQRT(K14)+$G$28*K14+$G$27*K14^2+$G$26*K14^3,$G$30+$G$31*(K14-$D$16)+$G$32*(K14-$D$16)^2+$G$33*(K14-$D$16)^3+$G$34*(K14-$D$16)^4+$G$35*(K14-$D$16)^5)</f>
        <v>0</v>
      </c>
    </row>
    <row r="15" spans="1:13" ht="12.75">
      <c r="A15" s="53" t="s">
        <v>63</v>
      </c>
      <c r="B15" s="51"/>
      <c r="C15" s="52"/>
      <c r="D15" s="52">
        <v>360</v>
      </c>
      <c r="E15" s="55"/>
      <c r="I15" s="10">
        <v>0.0025</v>
      </c>
      <c r="J15" s="10">
        <f t="shared" si="0"/>
        <v>0.015068689704867869</v>
      </c>
      <c r="K15" s="25">
        <f>I15*$D$14</f>
        <v>7</v>
      </c>
      <c r="L15" s="26">
        <f>J15*$D$14</f>
        <v>42.19233117363003</v>
      </c>
      <c r="M15" s="37">
        <f>IF(K15&lt;$D$16,$G$25*SQRT(K15)+$G$28*K15+$G$27*K15^2+$G$26*K15^3,$G$30+$G$31*(K15-$D$16)+$G$32*(K15-$D$16)^2+$G$33*(K15-$D$16)^3+$G$34*(K15-$D$16)^4+$G$35*(K15-$D$16)^5)</f>
        <v>42.19233117363003</v>
      </c>
    </row>
    <row r="16" spans="1:13" ht="12.75">
      <c r="A16" s="51" t="s">
        <v>34</v>
      </c>
      <c r="B16" s="51"/>
      <c r="C16" s="52"/>
      <c r="D16" s="52">
        <v>900</v>
      </c>
      <c r="E16" s="55"/>
      <c r="I16" s="10">
        <v>0.005</v>
      </c>
      <c r="J16" s="10">
        <f t="shared" si="0"/>
        <v>0.02154529120732767</v>
      </c>
      <c r="K16" s="25">
        <f>I16*$D$14</f>
        <v>14</v>
      </c>
      <c r="L16" s="26">
        <f>J16*$D$14</f>
        <v>60.32681538051747</v>
      </c>
      <c r="M16" s="37">
        <f>IF(K16&lt;$D$16,$G$25*SQRT(K16)+$G$28*K16+$G$27*K16^2+$G$26*K16^3,$G$30+$G$31*(K16-$D$16)+$G$32*(K16-$D$16)^2+$G$33*(K16-$D$16)^3+$G$34*(K16-$D$16)^4+$G$35*(K16-$D$16)^5)</f>
        <v>60.326815380517466</v>
      </c>
    </row>
    <row r="17" spans="1:13" ht="12.75">
      <c r="A17" s="51" t="s">
        <v>36</v>
      </c>
      <c r="B17" s="51"/>
      <c r="C17" s="52"/>
      <c r="D17" s="52">
        <v>-8000</v>
      </c>
      <c r="E17" s="55"/>
      <c r="F17" t="s">
        <v>39</v>
      </c>
      <c r="I17" s="10">
        <v>0.01</v>
      </c>
      <c r="J17" s="10">
        <f t="shared" si="0"/>
        <v>0.030895984676109055</v>
      </c>
      <c r="K17" s="25">
        <f>I17*$D$14</f>
        <v>28</v>
      </c>
      <c r="L17" s="26">
        <f>J17*$D$14</f>
        <v>86.50875709310536</v>
      </c>
      <c r="M17" s="37">
        <f>IF(K17&lt;$D$16,$G$25*SQRT(K17)+$G$28*K17+$G$27*K17^2+$G$26*K17^3,$G$30+$G$31*(K17-$D$16)+$G$32*(K17-$D$16)^2+$G$33*(K17-$D$16)^3+$G$34*(K17-$D$16)^4+$G$35*(K17-$D$16)^5)</f>
        <v>86.50875709310537</v>
      </c>
    </row>
    <row r="18" spans="1:13" ht="12.75">
      <c r="A18" s="51" t="s">
        <v>37</v>
      </c>
      <c r="B18" s="51"/>
      <c r="C18" s="52"/>
      <c r="D18" s="52">
        <v>120</v>
      </c>
      <c r="E18" s="55"/>
      <c r="F18" s="6"/>
      <c r="I18" s="10">
        <f>I14+0.02</f>
        <v>0.02</v>
      </c>
      <c r="J18" s="10">
        <f t="shared" si="0"/>
        <v>0.044375591553441375</v>
      </c>
      <c r="K18" s="25">
        <f>I18*$D$14</f>
        <v>56</v>
      </c>
      <c r="L18" s="26">
        <f>J18*$D$14</f>
        <v>124.25165634963585</v>
      </c>
      <c r="M18" s="37">
        <f>IF(K18&lt;$D$16,$G$25*SQRT(K18)+$G$28*K18+$G$27*K18^2+$G$26*K18^3,$G$30+$G$31*(K18-$D$16)+$G$32*(K18-$D$16)^2+$G$33*(K18-$D$16)^3+$G$34*(K18-$D$16)^4+$G$35*(K18-$D$16)^5)</f>
        <v>124.25165634963585</v>
      </c>
    </row>
    <row r="19" spans="1:13" ht="12.75">
      <c r="A19" s="51" t="s">
        <v>60</v>
      </c>
      <c r="B19" s="51"/>
      <c r="C19" s="52"/>
      <c r="D19" s="52">
        <v>2</v>
      </c>
      <c r="E19" s="55"/>
      <c r="I19" s="10">
        <v>0.03</v>
      </c>
      <c r="J19" s="10">
        <f t="shared" si="0"/>
        <v>0.05477599876632839</v>
      </c>
      <c r="K19" s="25">
        <f>I19*$D$14</f>
        <v>84</v>
      </c>
      <c r="L19" s="26">
        <f>J19*$D$14</f>
        <v>153.3727965457195</v>
      </c>
      <c r="M19" s="37">
        <f>IF(K19&lt;$D$16,$G$25*SQRT(K19)+$G$28*K19+$G$27*K19^2+$G$26*K19^3,$G$30+$G$31*(K19-$D$16)+$G$32*(K19-$D$16)^2+$G$33*(K19-$D$16)^3+$G$34*(K19-$D$16)^4+$G$35*(K19-$D$16)^5)</f>
        <v>153.37279654571947</v>
      </c>
    </row>
    <row r="20" spans="1:13" ht="12.75">
      <c r="A20" s="51" t="s">
        <v>18</v>
      </c>
      <c r="B20" s="51"/>
      <c r="C20" s="51"/>
      <c r="D20" s="54">
        <f>0.3</f>
        <v>0.3</v>
      </c>
      <c r="E20" s="55"/>
      <c r="I20" s="10">
        <f>I18+0.02</f>
        <v>0.04</v>
      </c>
      <c r="J20" s="10">
        <f t="shared" si="0"/>
        <v>0.06346696030059304</v>
      </c>
      <c r="K20" s="25">
        <f>I20*$D$14</f>
        <v>112</v>
      </c>
      <c r="L20" s="26">
        <f>J20*$D$14</f>
        <v>177.7074888416605</v>
      </c>
      <c r="M20" s="37">
        <f>IF(K20&lt;$D$16,$G$25*SQRT(K20)+$G$28*K20+$G$27*K20^2+$G$26*K20^3,$G$30+$G$31*(K20-$D$16)+$G$32*(K20-$D$16)^2+$G$33*(K20-$D$16)^3+$G$34*(K20-$D$16)^4+$G$35*(K20-$D$16)^5)</f>
        <v>177.70748884166053</v>
      </c>
    </row>
    <row r="21" spans="1:13" ht="12.75">
      <c r="A21" s="51" t="s">
        <v>35</v>
      </c>
      <c r="B21" s="51"/>
      <c r="C21" s="52"/>
      <c r="D21" s="52">
        <v>-10000</v>
      </c>
      <c r="E21" s="55"/>
      <c r="I21" s="10">
        <v>0.05</v>
      </c>
      <c r="J21" s="10">
        <f t="shared" si="0"/>
        <v>0.07098437935376502</v>
      </c>
      <c r="K21" s="25">
        <f>I21*$D$14</f>
        <v>140</v>
      </c>
      <c r="L21" s="26">
        <f>J21*$D$14</f>
        <v>198.75626219054206</v>
      </c>
      <c r="M21" s="37">
        <f>IF(K21&lt;$D$16,$G$25*SQRT(K21)+$G$28*K21+$G$27*K21^2+$G$26*K21^3,$G$30+$G$31*(K21-$D$16)+$G$32*(K21-$D$16)^2+$G$33*(K21-$D$16)^3+$G$34*(K21-$D$16)^4+$G$35*(K21-$D$16)^5)</f>
        <v>198.7562621905421</v>
      </c>
    </row>
    <row r="22" spans="1:13" ht="12.75">
      <c r="A22" s="29"/>
      <c r="B22" s="29"/>
      <c r="C22" s="30"/>
      <c r="D22" s="29"/>
      <c r="E22" s="43"/>
      <c r="I22" s="10">
        <f>I20+0.02</f>
        <v>0.06</v>
      </c>
      <c r="J22" s="10">
        <f t="shared" si="0"/>
        <v>0.07760734608741598</v>
      </c>
      <c r="K22" s="25">
        <f>I22*$D$14</f>
        <v>168</v>
      </c>
      <c r="L22" s="26">
        <f>J22*$D$14</f>
        <v>217.30056904476476</v>
      </c>
      <c r="M22" s="37">
        <f>IF(K22&lt;$D$16,$G$25*SQRT(K22)+$G$28*K22+$G$27*K22^2+$G$26*K22^3,$G$30+$G$31*(K22-$D$16)+$G$32*(K22-$D$16)^2+$G$33*(K22-$D$16)^3+$G$34*(K22-$D$16)^4+$G$35*(K22-$D$16)^5)</f>
        <v>217.30056904476479</v>
      </c>
    </row>
    <row r="23" spans="1:13" ht="12.75">
      <c r="A23" s="44" t="s">
        <v>69</v>
      </c>
      <c r="B23" s="29"/>
      <c r="C23" s="30"/>
      <c r="D23" s="29"/>
      <c r="E23" s="43"/>
      <c r="I23" s="10">
        <f aca="true" t="shared" si="1" ref="I23:I69">I22+0.02</f>
        <v>0.08</v>
      </c>
      <c r="J23" s="10">
        <f t="shared" si="0"/>
        <v>0.08879128166000616</v>
      </c>
      <c r="K23" s="25">
        <f>I23*$D$14</f>
        <v>224</v>
      </c>
      <c r="L23" s="26">
        <f>J23*$D$14</f>
        <v>248.61558864801725</v>
      </c>
      <c r="M23" s="37">
        <f>IF(K23&lt;$D$16,$G$25*SQRT(K23)+$G$28*K23+$G$27*K23^2+$G$26*K23^3,$G$30+$G$31*(K23-$D$16)+$G$32*(K23-$D$16)^2+$G$33*(K23-$D$16)^3+$G$34*(K23-$D$16)^4+$G$35*(K23-$D$16)^5)</f>
        <v>248.61558864801722</v>
      </c>
    </row>
    <row r="24" spans="1:13" ht="12.75">
      <c r="A24" s="29"/>
      <c r="B24" s="29"/>
      <c r="C24" s="30"/>
      <c r="D24" s="29"/>
      <c r="E24" s="43"/>
      <c r="I24" s="10">
        <f t="shared" si="1"/>
        <v>0.1</v>
      </c>
      <c r="J24" s="10">
        <f t="shared" si="0"/>
        <v>0.09783405667065967</v>
      </c>
      <c r="K24" s="25">
        <f>I24*$D$14</f>
        <v>280</v>
      </c>
      <c r="L24" s="26">
        <f>J24*$D$14</f>
        <v>273.9353586778471</v>
      </c>
      <c r="M24" s="37">
        <f>IF(K24&lt;$D$16,$G$25*SQRT(K24)+$G$28*K24+$G$27*K24^2+$G$26*K24^3,$G$30+$G$31*(K24-$D$16)+$G$32*(K24-$D$16)^2+$G$33*(K24-$D$16)^3+$G$34*(K24-$D$16)^4+$G$35*(K24-$D$16)^5)</f>
        <v>273.935358677847</v>
      </c>
    </row>
    <row r="25" spans="1:13" ht="12.75">
      <c r="A25" s="45" t="s">
        <v>45</v>
      </c>
      <c r="B25" s="4"/>
      <c r="C25" s="4"/>
      <c r="D25" s="4"/>
      <c r="E25" s="4"/>
      <c r="F25" s="4"/>
      <c r="G25" s="46">
        <f>SQRT(2*$D$18)</f>
        <v>15.491933384829668</v>
      </c>
      <c r="I25" s="10">
        <f t="shared" si="1"/>
        <v>0.12000000000000001</v>
      </c>
      <c r="J25" s="10">
        <f t="shared" si="0"/>
        <v>0.10518777229322646</v>
      </c>
      <c r="K25" s="25">
        <f>I25*$D$14</f>
        <v>336</v>
      </c>
      <c r="L25" s="26">
        <f>J25*$D$14</f>
        <v>294.5257624210341</v>
      </c>
      <c r="M25" s="37">
        <f>IF(K25&lt;$D$16,$G$25*SQRT(K25)+$G$28*K25+$G$27*K25^2+$G$26*K25^3,$G$30+$G$31*(K25-$D$16)+$G$32*(K25-$D$16)^2+$G$33*(K25-$D$16)^3+$G$34*(K25-$D$16)^4+$G$35*(K25-$D$16)^5)</f>
        <v>294.52576242103413</v>
      </c>
    </row>
    <row r="26" spans="1:13" ht="12.75">
      <c r="A26" s="47" t="s">
        <v>61</v>
      </c>
      <c r="B26" s="6"/>
      <c r="C26" s="6"/>
      <c r="D26" s="6"/>
      <c r="E26" s="6"/>
      <c r="F26" s="6"/>
      <c r="G26" s="48">
        <f>1/$D$16^3*(1/2*$D$16^2/$D$17-3/8*G25*SQRT($D$16)+$D$15)</f>
        <v>1.8530966998719647E-07</v>
      </c>
      <c r="I26" s="10">
        <f t="shared" si="1"/>
        <v>0.14</v>
      </c>
      <c r="J26" s="10">
        <f t="shared" si="0"/>
        <v>0.1111493068721664</v>
      </c>
      <c r="K26" s="25">
        <f>I26*$D$14</f>
        <v>392.00000000000006</v>
      </c>
      <c r="L26" s="26">
        <f>J26*$D$14</f>
        <v>311.2180592420659</v>
      </c>
      <c r="M26" s="37">
        <f>IF(K26&lt;$D$16,$G$25*SQRT(K26)+$G$28*K26+$G$27*K26^2+$G$26*K26^3,$G$30+$G$31*(K26-$D$16)+$G$32*(K26-$D$16)^2+$G$33*(K26-$D$16)^3+$G$34*(K26-$D$16)^4+$G$35*(K26-$D$16)^5)</f>
        <v>311.21805924206586</v>
      </c>
    </row>
    <row r="27" spans="1:13" ht="12.75">
      <c r="A27" s="47" t="s">
        <v>47</v>
      </c>
      <c r="B27" s="6"/>
      <c r="C27" s="6"/>
      <c r="D27" s="6"/>
      <c r="E27" s="6"/>
      <c r="F27" s="6"/>
      <c r="G27" s="48">
        <f>(1/2*($D$16^2/$D$17+G25/4*SQRT($D$16))-3*G26*$D$16^3)/$D$16^2</f>
        <v>-0.0004911141951467746</v>
      </c>
      <c r="I27" s="10">
        <f t="shared" si="1"/>
        <v>0.16</v>
      </c>
      <c r="J27" s="10">
        <f t="shared" si="0"/>
        <v>0.11593639211822415</v>
      </c>
      <c r="K27" s="25">
        <f>I27*$D$14</f>
        <v>448</v>
      </c>
      <c r="L27" s="26">
        <f>J27*$D$14</f>
        <v>324.6218979310276</v>
      </c>
      <c r="M27" s="37">
        <f>IF(K27&lt;$D$16,$G$25*SQRT(K27)+$G$28*K27+$G$27*K27^2+$G$26*K27^3,$G$30+$G$31*(K27-$D$16)+$G$32*(K27-$D$16)^2+$G$33*(K27-$D$16)^3+$G$34*(K27-$D$16)^4+$G$35*(K27-$D$16)^5)</f>
        <v>324.62189793102755</v>
      </c>
    </row>
    <row r="28" spans="1:13" ht="12.75">
      <c r="A28" s="47" t="s">
        <v>46</v>
      </c>
      <c r="B28" s="6"/>
      <c r="C28" s="6"/>
      <c r="D28" s="6"/>
      <c r="E28" s="6"/>
      <c r="F28" s="6"/>
      <c r="G28" s="48">
        <f>-G25/2/SQRT($D$16)-2*G27*$D$16-3*G26*$D$16^2</f>
        <v>0.17550416344814557</v>
      </c>
      <c r="I28" s="10">
        <f t="shared" si="1"/>
        <v>0.18</v>
      </c>
      <c r="J28" s="10">
        <f t="shared" si="0"/>
        <v>0.1197215621222388</v>
      </c>
      <c r="K28" s="25">
        <f>I28*$D$14</f>
        <v>504</v>
      </c>
      <c r="L28" s="26">
        <f>J28*$D$14</f>
        <v>335.2203739422687</v>
      </c>
      <c r="M28" s="37">
        <f>IF(K28&lt;$D$16,$G$25*SQRT(K28)+$G$28*K28+$G$27*K28^2+$G$26*K28^3,$G$30+$G$31*(K28-$D$16)+$G$32*(K28-$D$16)^2+$G$33*(K28-$D$16)^3+$G$34*(K28-$D$16)^4+$G$35*(K28-$D$16)^5)</f>
        <v>335.22037394226857</v>
      </c>
    </row>
    <row r="29" spans="1:13" ht="12.75">
      <c r="A29" s="5"/>
      <c r="B29" s="6"/>
      <c r="C29" s="6"/>
      <c r="D29" s="6"/>
      <c r="E29" s="6"/>
      <c r="F29" s="6"/>
      <c r="G29" s="48"/>
      <c r="I29" s="10">
        <f t="shared" si="1"/>
        <v>0.19999999999999998</v>
      </c>
      <c r="J29" s="10">
        <f t="shared" si="0"/>
        <v>0.12264939947638279</v>
      </c>
      <c r="K29" s="25">
        <f>I29*$D$14</f>
        <v>560</v>
      </c>
      <c r="L29" s="26">
        <f>J29*$D$14</f>
        <v>343.4183185338718</v>
      </c>
      <c r="M29" s="37">
        <f>IF(K29&lt;$D$16,$G$25*SQRT(K29)+$G$28*K29+$G$27*K29^2+$G$26*K29^3,$G$30+$G$31*(K29-$D$16)+$G$32*(K29-$D$16)^2+$G$33*(K29-$D$16)^3+$G$34*(K29-$D$16)^4+$G$35*(K29-$D$16)^5)</f>
        <v>343.4183185338717</v>
      </c>
    </row>
    <row r="30" spans="1:13" ht="12.75">
      <c r="A30" s="47" t="s">
        <v>48</v>
      </c>
      <c r="B30" s="6"/>
      <c r="C30" s="6"/>
      <c r="D30" s="6"/>
      <c r="E30" s="6"/>
      <c r="F30" s="6"/>
      <c r="G30" s="48">
        <f>$D$15</f>
        <v>360</v>
      </c>
      <c r="I30" s="10">
        <f t="shared" si="1"/>
        <v>0.21999999999999997</v>
      </c>
      <c r="J30" s="10">
        <f t="shared" si="0"/>
        <v>0.12484614324704577</v>
      </c>
      <c r="K30" s="25">
        <f>I30*$D$14</f>
        <v>615.9999999999999</v>
      </c>
      <c r="L30" s="26">
        <f>J30*$D$14</f>
        <v>349.56920109172813</v>
      </c>
      <c r="M30" s="37">
        <f>IF(K30&lt;$D$16,$G$25*SQRT(K30)+$G$28*K30+$G$27*K30^2+$G$26*K30^3,$G$30+$G$31*(K30-$D$16)+$G$32*(K30-$D$16)^2+$G$33*(K30-$D$16)^3+$G$34*(K30-$D$16)^4+$G$35*(K30-$D$16)^5)</f>
        <v>349.56920109172796</v>
      </c>
    </row>
    <row r="31" spans="1:13" ht="12.75">
      <c r="A31" s="47" t="s">
        <v>49</v>
      </c>
      <c r="B31" s="6"/>
      <c r="C31" s="6"/>
      <c r="D31" s="6"/>
      <c r="E31" s="6"/>
      <c r="F31" s="6"/>
      <c r="G31" s="48">
        <f>0</f>
        <v>0</v>
      </c>
      <c r="I31" s="10">
        <f t="shared" si="1"/>
        <v>0.23999999999999996</v>
      </c>
      <c r="J31" s="10">
        <f t="shared" si="0"/>
        <v>0.12642542663716996</v>
      </c>
      <c r="K31" s="25">
        <f>I31*$D$14</f>
        <v>671.9999999999999</v>
      </c>
      <c r="L31" s="26">
        <f>J31*$D$14</f>
        <v>353.9911945840759</v>
      </c>
      <c r="M31" s="37">
        <f>IF(K31&lt;$D$16,$G$25*SQRT(K31)+$G$28*K31+$G$27*K31^2+$G$26*K31^3,$G$30+$G$31*(K31-$D$16)+$G$32*(K31-$D$16)^2+$G$33*(K31-$D$16)^3+$G$34*(K31-$D$16)^4+$G$35*(K31-$D$16)^5)</f>
        <v>353.99119458407574</v>
      </c>
    </row>
    <row r="32" spans="1:13" ht="12.75">
      <c r="A32" s="47" t="s">
        <v>50</v>
      </c>
      <c r="B32" s="6"/>
      <c r="C32" s="6"/>
      <c r="D32" s="6"/>
      <c r="E32" s="6"/>
      <c r="F32" s="6"/>
      <c r="G32" s="48">
        <f>1/2/$D$17</f>
        <v>-6.25E-05</v>
      </c>
      <c r="I32" s="10">
        <f t="shared" si="1"/>
        <v>0.25999999999999995</v>
      </c>
      <c r="J32" s="10">
        <f t="shared" si="0"/>
        <v>0.12749189473358072</v>
      </c>
      <c r="K32" s="25">
        <f>I32*$D$14</f>
        <v>727.9999999999999</v>
      </c>
      <c r="L32" s="26">
        <f>J32*$D$14</f>
        <v>356.977305254026</v>
      </c>
      <c r="M32" s="37">
        <f>IF(K32&lt;$D$16,$G$25*SQRT(K32)+$G$28*K32+$G$27*K32^2+$G$26*K32^3,$G$30+$G$31*(K32-$D$16)+$G$32*(K32-$D$16)^2+$G$33*(K32-$D$16)^3+$G$34*(K32-$D$16)^4+$G$35*(K32-$D$16)^5)</f>
        <v>356.97730525402585</v>
      </c>
    </row>
    <row r="33" spans="1:13" ht="12.75">
      <c r="A33" s="47" t="s">
        <v>51</v>
      </c>
      <c r="B33" s="6"/>
      <c r="C33" s="6"/>
      <c r="D33" s="6"/>
      <c r="E33" s="6"/>
      <c r="F33" s="6"/>
      <c r="G33" s="48">
        <f>10*G38-4*G39+G40</f>
        <v>-1.2079498620929593E-07</v>
      </c>
      <c r="I33" s="10">
        <f t="shared" si="1"/>
        <v>0.27999999999999997</v>
      </c>
      <c r="J33" s="10">
        <f t="shared" si="0"/>
        <v>0.12814358763953962</v>
      </c>
      <c r="K33" s="25">
        <f>I33*$D$14</f>
        <v>783.9999999999999</v>
      </c>
      <c r="L33" s="26">
        <f>J33*$D$14</f>
        <v>358.80204539071093</v>
      </c>
      <c r="M33" s="37">
        <f>IF(K33&lt;$D$16,$G$25*SQRT(K33)+$G$28*K33+$G$27*K33^2+$G$26*K33^3,$G$30+$G$31*(K33-$D$16)+$G$32*(K33-$D$16)^2+$G$33*(K33-$D$16)^3+$G$34*(K33-$D$16)^4+$G$35*(K33-$D$16)^5)</f>
        <v>358.80204539071076</v>
      </c>
    </row>
    <row r="34" spans="1:13" ht="12.75">
      <c r="A34" s="47" t="s">
        <v>52</v>
      </c>
      <c r="B34" s="6"/>
      <c r="C34" s="6"/>
      <c r="D34" s="6"/>
      <c r="E34" s="6"/>
      <c r="F34" s="6"/>
      <c r="G34" s="48">
        <f>(-15*G38+7*G39-2*G40)/G37</f>
        <v>8.547667841860647E-11</v>
      </c>
      <c r="I34" s="10">
        <f t="shared" si="1"/>
        <v>0.3</v>
      </c>
      <c r="J34" s="10">
        <f t="shared" si="0"/>
        <v>0.1284735679478009</v>
      </c>
      <c r="K34" s="25">
        <f>I34*$D$14</f>
        <v>840</v>
      </c>
      <c r="L34" s="26">
        <f>J34*$D$14</f>
        <v>359.72599025384255</v>
      </c>
      <c r="M34" s="37">
        <f>IF(K34&lt;$D$16,$G$25*SQRT(K34)+$G$28*K34+$G$27*K34^2+$G$26*K34^3,$G$30+$G$31*(K34-$D$16)+$G$32*(K34-$D$16)^2+$G$33*(K34-$D$16)^3+$G$34*(K34-$D$16)^4+$G$35*(K34-$D$16)^5)</f>
        <v>359.7259902538424</v>
      </c>
    </row>
    <row r="35" spans="1:13" ht="12.75">
      <c r="A35" s="47" t="s">
        <v>53</v>
      </c>
      <c r="B35" s="6"/>
      <c r="C35" s="6"/>
      <c r="D35" s="6"/>
      <c r="E35" s="6"/>
      <c r="F35" s="6"/>
      <c r="G35" s="48">
        <f>(6*G38-3*G39+G40)/G37^2</f>
        <v>-1.6872621426266105E-14</v>
      </c>
      <c r="I35" s="10">
        <f t="shared" si="1"/>
        <v>0.32</v>
      </c>
      <c r="J35" s="10">
        <f t="shared" si="0"/>
        <v>0.1285710662796296</v>
      </c>
      <c r="K35" s="25">
        <f>I35*$D$14</f>
        <v>896</v>
      </c>
      <c r="L35" s="26">
        <f>J35*$D$14</f>
        <v>359.9989855829629</v>
      </c>
      <c r="M35" s="37">
        <f>IF(K35&lt;$D$16,$G$25*SQRT(K35)+$G$28*K35+$G$27*K35^2+$G$26*K35^3,$G$30+$G$31*(K35-$D$16)+$G$32*(K35-$D$16)^2+$G$33*(K35-$D$16)^3+$G$34*(K35-$D$16)^4+$G$35*(K35-$D$16)^5)</f>
        <v>359.9989855829627</v>
      </c>
    </row>
    <row r="36" spans="1:13" ht="12.75">
      <c r="A36" s="47" t="s">
        <v>58</v>
      </c>
      <c r="B36" s="6"/>
      <c r="C36" s="6"/>
      <c r="D36" s="6"/>
      <c r="E36" s="6"/>
      <c r="F36" s="6"/>
      <c r="G36" s="48"/>
      <c r="I36" s="10">
        <f t="shared" si="1"/>
        <v>0.34</v>
      </c>
      <c r="J36" s="10">
        <f t="shared" si="0"/>
        <v>0.12850522636292538</v>
      </c>
      <c r="K36" s="39">
        <f>I36*$D$14</f>
        <v>952.0000000000001</v>
      </c>
      <c r="L36" s="38">
        <f>J36*$D$14</f>
        <v>359.8146338161911</v>
      </c>
      <c r="M36" s="37">
        <f>IF(K36&lt;$D$16,$G$25*SQRT(K36)+$G$28*K36+$G$27*K36^2+$G$26*K36^3,$G$30+$G$31*(K36-$D$16)+$G$32*(K36-$D$16)^2+$G$33*(K36-$D$16)^3+$G$34*(K36-$D$16)^4+$G$35*(K36-$D$16)^5)</f>
        <v>359.81463381619</v>
      </c>
    </row>
    <row r="37" spans="1:13" ht="12.75">
      <c r="A37" s="47" t="s">
        <v>57</v>
      </c>
      <c r="B37" s="6"/>
      <c r="C37" s="6"/>
      <c r="D37" s="6"/>
      <c r="E37" s="6"/>
      <c r="F37" s="6"/>
      <c r="G37" s="48">
        <f>$D$14-$D$16</f>
        <v>1900</v>
      </c>
      <c r="I37" s="10">
        <f t="shared" si="1"/>
        <v>0.36000000000000004</v>
      </c>
      <c r="J37" s="10">
        <f t="shared" si="0"/>
        <v>0.1282607907856793</v>
      </c>
      <c r="K37" s="39">
        <f>I37*$D$14</f>
        <v>1008.0000000000001</v>
      </c>
      <c r="L37" s="38">
        <f>J37*$D$14</f>
        <v>359.13021419990207</v>
      </c>
      <c r="M37" s="37">
        <f>IF(K37&lt;$D$16,$G$25*SQRT(K37)+$G$28*K37+$G$27*K37^2+$G$26*K37^3,$G$30+$G$31*(K37-$D$16)+$G$32*(K37-$D$16)^2+$G$33*(K37-$D$16)^3+$G$34*(K37-$D$16)^4+$G$35*(K37-$D$16)^5)</f>
        <v>359.130214199901</v>
      </c>
    </row>
    <row r="38" spans="1:13" ht="12.75">
      <c r="A38" s="47" t="s">
        <v>56</v>
      </c>
      <c r="B38" s="6"/>
      <c r="C38" s="6"/>
      <c r="D38" s="6"/>
      <c r="E38" s="6"/>
      <c r="F38" s="6"/>
      <c r="G38" s="48">
        <f>($D$19-G30-G32*($D$14-$D$16)^2)/($D$14-$D$16)^3</f>
        <v>-1.929946056276425E-08</v>
      </c>
      <c r="I38" s="10">
        <f t="shared" si="1"/>
        <v>0.38000000000000006</v>
      </c>
      <c r="J38" s="10">
        <f t="shared" si="0"/>
        <v>0.12780214705480034</v>
      </c>
      <c r="K38" s="39">
        <f>I38*$D$14</f>
        <v>1064.0000000000002</v>
      </c>
      <c r="L38" s="38">
        <f>J38*$D$14</f>
        <v>357.84601175344096</v>
      </c>
      <c r="M38" s="37">
        <f>IF(K38&lt;$D$16,$G$25*SQRT(K38)+$G$28*K38+$G$27*K38^2+$G$26*K38^3,$G$30+$G$31*(K38-$D$16)+$G$32*(K38-$D$16)^2+$G$33*(K38-$D$16)^3+$G$34*(K38-$D$16)^4+$G$35*(K38-$D$16)^5)</f>
        <v>357.84601175344</v>
      </c>
    </row>
    <row r="39" spans="1:13" ht="12.75">
      <c r="A39" s="47" t="s">
        <v>54</v>
      </c>
      <c r="B39" s="6"/>
      <c r="C39" s="6"/>
      <c r="D39" s="6"/>
      <c r="E39" s="6"/>
      <c r="F39" s="6"/>
      <c r="G39" s="48">
        <f>-($D$20+G31+2*G32*G37)/G37^2</f>
        <v>-1.731301939058171E-08</v>
      </c>
      <c r="I39" s="10">
        <f t="shared" si="1"/>
        <v>0.4000000000000001</v>
      </c>
      <c r="J39" s="10">
        <f t="shared" si="0"/>
        <v>0.12710011203802493</v>
      </c>
      <c r="K39" s="39">
        <f>I39*$D$14</f>
        <v>1120.0000000000002</v>
      </c>
      <c r="L39" s="38">
        <f>J39*$D$14</f>
        <v>355.8803137064698</v>
      </c>
      <c r="M39" s="37">
        <f>IF(K39&lt;$D$16,$G$25*SQRT(K39)+$G$28*K39+$G$27*K39^2+$G$26*K39^3,$G$30+$G$31*(K39-$D$16)+$G$32*(K39-$D$16)^2+$G$33*(K39-$D$16)^3+$G$34*(K39-$D$16)^4+$G$35*(K39-$D$16)^5)</f>
        <v>355.88031370646905</v>
      </c>
    </row>
    <row r="40" spans="1:13" ht="12.75">
      <c r="A40" s="49" t="s">
        <v>55</v>
      </c>
      <c r="B40" s="8"/>
      <c r="C40" s="8"/>
      <c r="D40" s="8"/>
      <c r="E40" s="8"/>
      <c r="F40" s="8"/>
      <c r="G40" s="50">
        <f>((1+$D$20^2)^(3/2)/$D$21-2*G32)/2/G37</f>
        <v>2.9475418560197346E-09</v>
      </c>
      <c r="I40" s="10">
        <f t="shared" si="1"/>
        <v>0.4200000000000001</v>
      </c>
      <c r="J40" s="10">
        <f t="shared" si="0"/>
        <v>0.12613154164076218</v>
      </c>
      <c r="K40" s="39">
        <f>I40*$D$14</f>
        <v>1176.0000000000002</v>
      </c>
      <c r="L40" s="38">
        <f>J40*$D$14</f>
        <v>353.1683165941341</v>
      </c>
      <c r="M40" s="37">
        <f>IF(K40&lt;$D$16,$G$25*SQRT(K40)+$G$28*K40+$G$27*K40^2+$G$26*K40^3,$G$30+$G$31*(K40-$D$16)+$G$32*(K40-$D$16)^2+$G$33*(K40-$D$16)^3+$G$34*(K40-$D$16)^4+$G$35*(K40-$D$16)^5)</f>
        <v>353.1683165941333</v>
      </c>
    </row>
    <row r="41" spans="1:13" ht="12.75">
      <c r="A41" s="35"/>
      <c r="I41" s="10">
        <f t="shared" si="1"/>
        <v>0.4400000000000001</v>
      </c>
      <c r="J41" s="10">
        <f t="shared" si="0"/>
        <v>0.12487893256514604</v>
      </c>
      <c r="K41" s="39">
        <f>I41*$D$14</f>
        <v>1232.0000000000002</v>
      </c>
      <c r="L41" s="38">
        <f>J41*$D$14</f>
        <v>349.6610111824089</v>
      </c>
      <c r="M41" s="37">
        <f>IF(K41&lt;$D$16,$G$25*SQRT(K41)+$G$28*K41+$G$27*K41^2+$G$26*K41^3,$G$30+$G$31*(K41-$D$16)+$G$32*(K41-$D$16)^2+$G$33*(K41-$D$16)^3+$G$34*(K41-$D$16)^4+$G$35*(K41-$D$16)^5)</f>
        <v>349.66101118240823</v>
      </c>
    </row>
    <row r="42" spans="1:13" ht="12.75">
      <c r="A42" s="41" t="s">
        <v>62</v>
      </c>
      <c r="B42" s="42"/>
      <c r="C42" s="30"/>
      <c r="D42" s="1"/>
      <c r="I42" s="10">
        <f t="shared" si="1"/>
        <v>0.46000000000000013</v>
      </c>
      <c r="J42" s="10">
        <f t="shared" si="0"/>
        <v>0.12333002406908897</v>
      </c>
      <c r="K42" s="39">
        <f>I42*$D$14</f>
        <v>1288.0000000000005</v>
      </c>
      <c r="L42" s="38">
        <f>J42*$D$14</f>
        <v>345.3240673934491</v>
      </c>
      <c r="M42" s="37">
        <f>IF(K42&lt;$D$16,$G$25*SQRT(K42)+$G$28*K42+$G$27*K42^2+$G$26*K42^3,$G$30+$G$31*(K42-$D$16)+$G$32*(K42-$D$16)^2+$G$33*(K42-$D$16)^3+$G$34*(K42-$D$16)^4+$G$35*(K42-$D$16)^5)</f>
        <v>345.32406739344856</v>
      </c>
    </row>
    <row r="43" spans="9:13" ht="12.75">
      <c r="I43" s="10">
        <f t="shared" si="1"/>
        <v>0.48000000000000015</v>
      </c>
      <c r="J43" s="10">
        <f t="shared" si="0"/>
        <v>0.12147739972533461</v>
      </c>
      <c r="K43" s="39">
        <f>I43*$D$14</f>
        <v>1344.0000000000005</v>
      </c>
      <c r="L43" s="38">
        <f>J43*$D$14</f>
        <v>340.13671923093693</v>
      </c>
      <c r="M43" s="37">
        <f>IF(K43&lt;$D$16,$G$25*SQRT(K43)+$G$28*K43+$G$27*K43^2+$G$26*K43^3,$G$30+$G$31*(K43-$D$16)+$G$32*(K43-$D$16)^2+$G$33*(K43-$D$16)^3+$G$34*(K43-$D$16)^4+$G$35*(K43-$D$16)^5)</f>
        <v>340.1367192309365</v>
      </c>
    </row>
    <row r="44" spans="1:13" ht="12.75">
      <c r="A44" s="3" t="s">
        <v>12</v>
      </c>
      <c r="B44" s="4"/>
      <c r="C44" s="4"/>
      <c r="D44" s="4"/>
      <c r="E44" s="4"/>
      <c r="F44" s="4"/>
      <c r="G44" s="11">
        <f>2*D15/D14</f>
        <v>0.2571428571428571</v>
      </c>
      <c r="I44" s="10">
        <f t="shared" si="1"/>
        <v>0.5000000000000001</v>
      </c>
      <c r="J44" s="10">
        <f t="shared" si="0"/>
        <v>0.11931808918051089</v>
      </c>
      <c r="K44" s="39">
        <f>I44*$D$14</f>
        <v>1400.0000000000002</v>
      </c>
      <c r="L44" s="38">
        <f>J44*$D$14</f>
        <v>334.0906497054305</v>
      </c>
      <c r="M44" s="37">
        <f>IF(K44&lt;$D$16,$G$25*SQRT(K44)+$G$28*K44+$G$27*K44^2+$G$26*K44^3,$G$30+$G$31*(K44-$D$16)+$G$32*(K44-$D$16)^2+$G$33*(K44-$D$16)^3+$G$34*(K44-$D$16)^4+$G$35*(K44-$D$16)^5)</f>
        <v>334.0906497054301</v>
      </c>
    </row>
    <row r="45" spans="1:13" ht="12.75">
      <c r="A45" s="5" t="s">
        <v>16</v>
      </c>
      <c r="B45" s="6"/>
      <c r="C45" s="6"/>
      <c r="D45" s="6"/>
      <c r="E45" s="6"/>
      <c r="F45" s="6"/>
      <c r="G45" s="12">
        <f>D16/D14</f>
        <v>0.32142857142857145</v>
      </c>
      <c r="I45" s="10">
        <f t="shared" si="1"/>
        <v>0.5200000000000001</v>
      </c>
      <c r="J45" s="10">
        <f t="shared" si="0"/>
        <v>0.11685316991418268</v>
      </c>
      <c r="K45" s="39">
        <f>I45*$D$14</f>
        <v>1456.0000000000005</v>
      </c>
      <c r="L45" s="38">
        <f>J45*$D$14</f>
        <v>327.1888757597115</v>
      </c>
      <c r="M45" s="37">
        <f>IF(K45&lt;$D$16,$G$25*SQRT(K45)+$G$28*K45+$G$27*K45^2+$G$26*K45^3,$G$30+$G$31*(K45-$D$16)+$G$32*(K45-$D$16)^2+$G$33*(K45-$D$16)^3+$G$34*(K45-$D$16)^4+$G$35*(K45-$D$16)^5)</f>
        <v>327.1888757597112</v>
      </c>
    </row>
    <row r="46" spans="1:13" ht="12.75">
      <c r="A46" s="5" t="s">
        <v>7</v>
      </c>
      <c r="B46" s="6"/>
      <c r="C46" s="6"/>
      <c r="D46" s="6"/>
      <c r="E46" s="6"/>
      <c r="F46" s="6"/>
      <c r="G46" s="12">
        <f>2*D19/D14</f>
        <v>0.0014285714285714286</v>
      </c>
      <c r="I46" s="10">
        <f t="shared" si="1"/>
        <v>0.5400000000000001</v>
      </c>
      <c r="J46" s="10">
        <f aca="true" t="shared" si="2" ref="J46:J69">IF(I46&lt;$G$45,$G$68*SQRT(I46)+$G$71*I46+$G$69*I46^2+$G$70*I46^3,$G$56+$G$57*(1-I46)+$G$58*(1-I46)^2+$G$59*(1-I46)^3+$G$60*(1-I46)^4+$G$61*(1-I46)^5)</f>
        <v>0.11408736899790531</v>
      </c>
      <c r="K46" s="39">
        <f>I46*$D$14</f>
        <v>1512.0000000000005</v>
      </c>
      <c r="L46" s="38">
        <f>J46*$D$14</f>
        <v>319.44463319413484</v>
      </c>
      <c r="M46" s="37">
        <f>IF(K46&lt;$D$16,$G$25*SQRT(K46)+$G$28*K46+$G$27*K46^2+$G$26*K46^3,$G$30+$G$31*(K46-$D$16)+$G$32*(K46-$D$16)^2+$G$33*(K46-$D$16)^3+$G$34*(K46-$D$16)^4+$G$35*(K46-$D$16)^5)</f>
        <v>319.44463319413455</v>
      </c>
    </row>
    <row r="47" spans="1:13" ht="12.75">
      <c r="A47" s="6" t="s">
        <v>3</v>
      </c>
      <c r="B47" s="6"/>
      <c r="C47" s="6"/>
      <c r="D47" s="6"/>
      <c r="E47" s="6"/>
      <c r="F47" s="6"/>
      <c r="G47" s="12">
        <f>D18/D14</f>
        <v>0.04285714285714286</v>
      </c>
      <c r="I47" s="10">
        <f t="shared" si="1"/>
        <v>0.5600000000000002</v>
      </c>
      <c r="J47" s="10">
        <f t="shared" si="2"/>
        <v>0.11102866485427702</v>
      </c>
      <c r="K47" s="39">
        <f>I47*$D$14</f>
        <v>1568.0000000000005</v>
      </c>
      <c r="L47" s="38">
        <f>J47*$D$14</f>
        <v>310.8802615919757</v>
      </c>
      <c r="M47" s="37">
        <f>IF(K47&lt;$D$16,$G$25*SQRT(K47)+$G$28*K47+$G$27*K47^2+$G$26*K47^3,$G$30+$G$31*(K47-$D$16)+$G$32*(K47-$D$16)^2+$G$33*(K47-$D$16)^3+$G$34*(K47-$D$16)^4+$G$35*(K47-$D$16)^5)</f>
        <v>310.8802615919754</v>
      </c>
    </row>
    <row r="48" spans="1:13" ht="12.75">
      <c r="A48" s="5" t="s">
        <v>4</v>
      </c>
      <c r="B48" s="6"/>
      <c r="C48" s="6"/>
      <c r="D48" s="6"/>
      <c r="E48" s="6"/>
      <c r="F48" s="6"/>
      <c r="G48" s="12">
        <f>1/G47</f>
        <v>23.333333333333332</v>
      </c>
      <c r="I48" s="10">
        <f t="shared" si="1"/>
        <v>0.5800000000000002</v>
      </c>
      <c r="J48" s="10">
        <f t="shared" si="2"/>
        <v>0.1076878890159923</v>
      </c>
      <c r="K48" s="39">
        <f>I48*$D$14</f>
        <v>1624.0000000000005</v>
      </c>
      <c r="L48" s="38">
        <f>J48*$D$14</f>
        <v>301.52608924477846</v>
      </c>
      <c r="M48" s="37">
        <f>IF(K48&lt;$D$16,$G$25*SQRT(K48)+$G$28*K48+$G$27*K48^2+$G$26*K48^3,$G$30+$G$31*(K48-$D$16)+$G$32*(K48-$D$16)^2+$G$33*(K48-$D$16)^3+$G$34*(K48-$D$16)^4+$G$35*(K48-$D$16)^5)</f>
        <v>301.5260892447782</v>
      </c>
    </row>
    <row r="49" spans="1:13" ht="12.75">
      <c r="A49" s="5" t="s">
        <v>5</v>
      </c>
      <c r="B49" s="6"/>
      <c r="C49" s="6"/>
      <c r="D49" s="6"/>
      <c r="E49" s="6"/>
      <c r="F49" s="6"/>
      <c r="G49" s="12">
        <f>D21/D14</f>
        <v>-3.5714285714285716</v>
      </c>
      <c r="I49" s="10">
        <f t="shared" si="1"/>
        <v>0.6000000000000002</v>
      </c>
      <c r="J49" s="10">
        <f t="shared" si="2"/>
        <v>0.10407832788489466</v>
      </c>
      <c r="K49" s="39">
        <f>I49*$D$14</f>
        <v>1680.0000000000005</v>
      </c>
      <c r="L49" s="38">
        <f>J49*$D$14</f>
        <v>291.41931807770504</v>
      </c>
      <c r="M49" s="37">
        <f>IF(K49&lt;$D$16,$G$25*SQRT(K49)+$G$28*K49+$G$27*K49^2+$G$26*K49^3,$G$30+$G$31*(K49-$D$16)+$G$32*(K49-$D$16)^2+$G$33*(K49-$D$16)^3+$G$34*(K49-$D$16)^4+$G$35*(K49-$D$16)^5)</f>
        <v>291.4193180777049</v>
      </c>
    </row>
    <row r="50" spans="1:13" ht="12.75">
      <c r="A50" s="5" t="s">
        <v>6</v>
      </c>
      <c r="B50" s="6"/>
      <c r="C50" s="6"/>
      <c r="D50" s="6"/>
      <c r="E50" s="6"/>
      <c r="F50" s="6"/>
      <c r="G50" s="12">
        <f>1/G49</f>
        <v>-0.27999999999999997</v>
      </c>
      <c r="I50" s="10">
        <f t="shared" si="1"/>
        <v>0.6200000000000002</v>
      </c>
      <c r="J50" s="10">
        <f t="shared" si="2"/>
        <v>0.1002153244910298</v>
      </c>
      <c r="K50" s="39">
        <f>I50*$D$14</f>
        <v>1736.0000000000007</v>
      </c>
      <c r="L50" s="38">
        <f>J50*$D$14</f>
        <v>280.60290857488343</v>
      </c>
      <c r="M50" s="37">
        <f>IF(K50&lt;$D$16,$G$25*SQRT(K50)+$G$28*K50+$G$27*K50^2+$G$26*K50^3,$G$30+$G$31*(K50-$D$16)+$G$32*(K50-$D$16)^2+$G$33*(K50-$D$16)^3+$G$34*(K50-$D$16)^4+$G$35*(K50-$D$16)^5)</f>
        <v>280.6029085748832</v>
      </c>
    </row>
    <row r="51" spans="1:13" ht="12.75">
      <c r="A51" s="6" t="s">
        <v>20</v>
      </c>
      <c r="B51" s="6"/>
      <c r="C51" s="6"/>
      <c r="D51" s="6"/>
      <c r="E51" s="6"/>
      <c r="F51" s="6"/>
      <c r="G51" s="19">
        <f>D17/D14</f>
        <v>-2.857142857142857</v>
      </c>
      <c r="I51" s="10">
        <f t="shared" si="1"/>
        <v>0.6400000000000002</v>
      </c>
      <c r="J51" s="10">
        <f t="shared" si="2"/>
        <v>0.0961158802516983</v>
      </c>
      <c r="K51" s="39">
        <f>I51*$D$14</f>
        <v>1792.0000000000007</v>
      </c>
      <c r="L51" s="38">
        <f>J51*$D$14</f>
        <v>269.12446470475527</v>
      </c>
      <c r="M51" s="37">
        <f>IF(K51&lt;$D$16,$G$25*SQRT(K51)+$G$28*K51+$G$27*K51^2+$G$26*K51^3,$G$30+$G$31*(K51-$D$16)+$G$32*(K51-$D$16)^2+$G$33*(K51-$D$16)^3+$G$34*(K51-$D$16)^4+$G$35*(K51-$D$16)^5)</f>
        <v>269.12446470475516</v>
      </c>
    </row>
    <row r="52" spans="1:13" ht="12.75">
      <c r="A52" s="5" t="s">
        <v>2</v>
      </c>
      <c r="B52" s="6"/>
      <c r="C52" s="6"/>
      <c r="D52" s="6"/>
      <c r="E52" s="6"/>
      <c r="F52" s="6"/>
      <c r="G52" s="12">
        <f>1/G51</f>
        <v>-0.35</v>
      </c>
      <c r="I52" s="10">
        <f t="shared" si="1"/>
        <v>0.6600000000000003</v>
      </c>
      <c r="J52" s="10">
        <f t="shared" si="2"/>
        <v>0.0917982567305089</v>
      </c>
      <c r="K52" s="39">
        <f>I52*$D$14</f>
        <v>1848.0000000000007</v>
      </c>
      <c r="L52" s="38">
        <f>J52*$D$14</f>
        <v>257.0351188454249</v>
      </c>
      <c r="M52" s="37">
        <f>IF(K52&lt;$D$16,$G$25*SQRT(K52)+$G$28*K52+$G$27*K52^2+$G$26*K52^3,$G$30+$G$31*(K52-$D$16)+$G$32*(K52-$D$16)^2+$G$33*(K52-$D$16)^3+$G$34*(K52-$D$16)^4+$G$35*(K52-$D$16)^5)</f>
        <v>257.0351188454249</v>
      </c>
    </row>
    <row r="53" spans="1:13" ht="12.75">
      <c r="A53" s="8" t="s">
        <v>0</v>
      </c>
      <c r="B53" s="8"/>
      <c r="C53" s="8"/>
      <c r="D53" s="8"/>
      <c r="E53" s="8"/>
      <c r="F53" s="8"/>
      <c r="G53" s="13">
        <f>6*(G57*(1-G45)-2*(G44/2-G46/2)+G58/2*(1-G45)^2)/(1-G45)^2</f>
        <v>-1.1574032153574256</v>
      </c>
      <c r="I53" s="10">
        <f t="shared" si="1"/>
        <v>0.6800000000000003</v>
      </c>
      <c r="J53" s="10">
        <f t="shared" si="2"/>
        <v>0.08728157739643133</v>
      </c>
      <c r="K53" s="39">
        <f>I53*$D$14</f>
        <v>1904.0000000000007</v>
      </c>
      <c r="L53" s="38">
        <f>J53*$D$14</f>
        <v>244.38841671000773</v>
      </c>
      <c r="M53" s="37">
        <f>IF(K53&lt;$D$16,$G$25*SQRT(K53)+$G$28*K53+$G$27*K53^2+$G$26*K53^3,$G$30+$G$31*(K53-$D$16)+$G$32*(K53-$D$16)^2+$G$33*(K53-$D$16)^3+$G$34*(K53-$D$16)^4+$G$35*(K53-$D$16)^5)</f>
        <v>244.38841671000768</v>
      </c>
    </row>
    <row r="54" spans="7:13" ht="12.75">
      <c r="G54" s="9"/>
      <c r="I54" s="10">
        <f t="shared" si="1"/>
        <v>0.7000000000000003</v>
      </c>
      <c r="J54" s="10">
        <f t="shared" si="2"/>
        <v>0.08258542938284924</v>
      </c>
      <c r="K54" s="39">
        <f>I54*$D$14</f>
        <v>1960.000000000001</v>
      </c>
      <c r="L54" s="38">
        <f>J54*$D$14</f>
        <v>231.23920227197786</v>
      </c>
      <c r="M54" s="37">
        <f>IF(K54&lt;$D$16,$G$25*SQRT(K54)+$G$28*K54+$G$27*K54^2+$G$26*K54^3,$G$30+$G$31*(K54-$D$16)+$G$32*(K54-$D$16)^2+$G$33*(K54-$D$16)^3+$G$34*(K54-$D$16)^4+$G$35*(K54-$D$16)^5)</f>
        <v>231.23920227197777</v>
      </c>
    </row>
    <row r="55" spans="1:13" ht="12.75">
      <c r="A55" s="2" t="s">
        <v>17</v>
      </c>
      <c r="G55" s="9"/>
      <c r="I55" s="10">
        <f t="shared" si="1"/>
        <v>0.7200000000000003</v>
      </c>
      <c r="J55" s="10">
        <f t="shared" si="2"/>
        <v>0.07772946524661327</v>
      </c>
      <c r="K55" s="39">
        <f>I55*$D$14</f>
        <v>2016.000000000001</v>
      </c>
      <c r="L55" s="38">
        <f>J55*$D$14</f>
        <v>217.64250269051715</v>
      </c>
      <c r="M55" s="37">
        <f>IF(K55&lt;$D$16,$G$25*SQRT(K55)+$G$28*K55+$G$27*K55^2+$G$26*K55^3,$G$30+$G$31*(K55-$D$16)+$G$32*(K55-$D$16)^2+$G$33*(K55-$D$16)^3+$G$34*(K55-$D$16)^4+$G$35*(K55-$D$16)^5)</f>
        <v>217.64250269051706</v>
      </c>
    </row>
    <row r="56" spans="1:13" ht="12.75">
      <c r="A56" s="3" t="s">
        <v>8</v>
      </c>
      <c r="B56" s="4"/>
      <c r="C56" s="4"/>
      <c r="D56" s="4"/>
      <c r="E56" s="4"/>
      <c r="F56" s="4"/>
      <c r="G56" s="11">
        <f>G46/2</f>
        <v>0.0007142857142857143</v>
      </c>
      <c r="I56" s="10">
        <f t="shared" si="1"/>
        <v>0.7400000000000003</v>
      </c>
      <c r="J56" s="10">
        <f t="shared" si="2"/>
        <v>0.072733004727094</v>
      </c>
      <c r="K56" s="39">
        <f>I56*$D$14</f>
        <v>2072.000000000001</v>
      </c>
      <c r="L56" s="38">
        <f>J56*$D$14</f>
        <v>203.6524132358632</v>
      </c>
      <c r="M56" s="37">
        <f>IF(K56&lt;$D$16,$G$25*SQRT(K56)+$G$28*K56+$G$27*K56^2+$G$26*K56^3,$G$30+$G$31*(K56-$D$16)+$G$32*(K56-$D$16)^2+$G$33*(K56-$D$16)^3+$G$34*(K56-$D$16)^4+$G$35*(K56-$D$16)^5)</f>
        <v>203.65241323586315</v>
      </c>
    </row>
    <row r="57" spans="1:13" ht="12.75">
      <c r="A57" s="5" t="s">
        <v>29</v>
      </c>
      <c r="B57" s="6"/>
      <c r="C57" s="6"/>
      <c r="D57" s="6"/>
      <c r="E57" s="6"/>
      <c r="F57" s="6"/>
      <c r="G57" s="12">
        <f>D20</f>
        <v>0.3</v>
      </c>
      <c r="I57" s="10">
        <f t="shared" si="1"/>
        <v>0.7600000000000003</v>
      </c>
      <c r="J57" s="10">
        <f t="shared" si="2"/>
        <v>0.06761463650523494</v>
      </c>
      <c r="K57" s="39">
        <f>I57*$D$14</f>
        <v>2128.000000000001</v>
      </c>
      <c r="L57" s="38">
        <f>J57*$D$14</f>
        <v>189.32098221465785</v>
      </c>
      <c r="M57" s="37">
        <f>IF(K57&lt;$D$16,$G$25*SQRT(K57)+$G$28*K57+$G$27*K57^2+$G$26*K57^3,$G$30+$G$31*(K57-$D$16)+$G$32*(K57-$D$16)^2+$G$33*(K57-$D$16)^3+$G$34*(K57-$D$16)^4+$G$35*(K57-$D$16)^5)</f>
        <v>189.32098221465782</v>
      </c>
    </row>
    <row r="58" spans="1:13" ht="12.75">
      <c r="A58" s="5" t="s">
        <v>43</v>
      </c>
      <c r="B58" s="6"/>
      <c r="C58" s="6"/>
      <c r="D58" s="6"/>
      <c r="E58" s="6"/>
      <c r="F58" s="6"/>
      <c r="G58" s="12">
        <f>(1+G57^2)^(3/2)/2*G50</f>
        <v>-0.159319077325975</v>
      </c>
      <c r="I58" s="10">
        <f t="shared" si="1"/>
        <v>0.7800000000000004</v>
      </c>
      <c r="J58" s="10">
        <f t="shared" si="2"/>
        <v>0.062391819962605476</v>
      </c>
      <c r="K58" s="39">
        <f>I58*$D$14</f>
        <v>2184.000000000001</v>
      </c>
      <c r="L58" s="38">
        <f>J58*$D$14</f>
        <v>174.69709589529532</v>
      </c>
      <c r="M58" s="37">
        <f>IF(K58&lt;$D$16,$G$25*SQRT(K58)+$G$28*K58+$G$27*K58^2+$G$26*K58^3,$G$30+$G$31*(K58-$D$16)+$G$32*(K58-$D$16)^2+$G$33*(K58-$D$16)^3+$G$34*(K58-$D$16)^4+$G$35*(K58-$D$16)^5)</f>
        <v>174.69709589529532</v>
      </c>
    </row>
    <row r="59" spans="1:13" ht="12.75">
      <c r="A59" s="5" t="s">
        <v>44</v>
      </c>
      <c r="B59" s="6"/>
      <c r="C59" s="6"/>
      <c r="D59" s="6"/>
      <c r="E59" s="6"/>
      <c r="F59" s="6"/>
      <c r="G59" s="12">
        <f>10/(1-G45)^3*(G44/2-G46/2)-6*G57/(1-G45)^2+G52/2/(1-G45)-3*G58/(1-G45)</f>
        <v>0.629347091534169</v>
      </c>
      <c r="I59" s="10">
        <f t="shared" si="1"/>
        <v>0.8000000000000004</v>
      </c>
      <c r="J59" s="10">
        <f t="shared" si="2"/>
        <v>0.057080486940453846</v>
      </c>
      <c r="K59" s="39">
        <f>I59*$D$14</f>
        <v>2240.000000000001</v>
      </c>
      <c r="L59" s="38">
        <f>J59*$D$14</f>
        <v>159.82536343327078</v>
      </c>
      <c r="M59" s="37">
        <f>IF(K59&lt;$D$16,$G$25*SQRT(K59)+$G$28*K59+$G$27*K59^2+$G$26*K59^3,$G$30+$G$31*(K59-$D$16)+$G$32*(K59-$D$16)^2+$G$33*(K59-$D$16)^3+$G$34*(K59-$D$16)^4+$G$35*(K59-$D$16)^5)</f>
        <v>159.8253634332707</v>
      </c>
    </row>
    <row r="60" spans="1:13" ht="12.75">
      <c r="A60" s="16" t="s">
        <v>9</v>
      </c>
      <c r="G60" s="12">
        <f>-15/(1-G45)^4*(G44/2-G46/2)+8*G57/(1-G45)^3-G52/(1-G45)^2+3*G58/(1-G45)^2</f>
        <v>-1.6422999180739857</v>
      </c>
      <c r="I60" s="10">
        <f t="shared" si="1"/>
        <v>0.8200000000000004</v>
      </c>
      <c r="J60" s="10">
        <f t="shared" si="2"/>
        <v>0.05169464349876015</v>
      </c>
      <c r="K60" s="39">
        <f>I60*$D$14</f>
        <v>2296.000000000001</v>
      </c>
      <c r="L60" s="38">
        <f>J60*$D$14</f>
        <v>144.7450017965284</v>
      </c>
      <c r="M60" s="37">
        <f>IF(K60&lt;$D$16,$G$25*SQRT(K60)+$G$28*K60+$G$27*K60^2+$G$26*K60^3,$G$30+$G$31*(K60-$D$16)+$G$32*(K60-$D$16)^2+$G$33*(K60-$D$16)^3+$G$34*(K60-$D$16)^4+$G$35*(K60-$D$16)^5)</f>
        <v>144.74500179652838</v>
      </c>
    </row>
    <row r="61" spans="1:13" ht="12.75">
      <c r="A61" s="17" t="s">
        <v>10</v>
      </c>
      <c r="B61" s="8"/>
      <c r="C61" s="8"/>
      <c r="D61" s="8"/>
      <c r="E61" s="8"/>
      <c r="F61" s="8"/>
      <c r="G61" s="13">
        <f>6*(G44/2-G46/2)/(1-G45)^5-3*G57/(1-G45)^4+G52/2/(1-G45)^3-G58/(1-G45)^3</f>
        <v>1.037085799538301</v>
      </c>
      <c r="I61" s="10">
        <f t="shared" si="1"/>
        <v>0.8400000000000004</v>
      </c>
      <c r="J61" s="10">
        <f t="shared" si="2"/>
        <v>0.0462459716752893</v>
      </c>
      <c r="K61" s="39">
        <f>I61*$D$14</f>
        <v>2352.0000000000014</v>
      </c>
      <c r="L61" s="38">
        <f>J61*$D$14</f>
        <v>129.48872069081006</v>
      </c>
      <c r="M61" s="37">
        <f>IF(K61&lt;$D$16,$G$25*SQRT(K61)+$G$28*K61+$G$27*K61^2+$G$26*K61^3,$G$30+$G$31*(K61-$D$16)+$G$32*(K61-$D$16)^2+$G$33*(K61-$D$16)^3+$G$34*(K61-$D$16)^4+$G$35*(K61-$D$16)^5)</f>
        <v>129.48872069080986</v>
      </c>
    </row>
    <row r="62" spans="9:13" ht="12.75">
      <c r="I62" s="10">
        <f t="shared" si="1"/>
        <v>0.8600000000000004</v>
      </c>
      <c r="J62" s="10">
        <f t="shared" si="2"/>
        <v>0.04074343124464403</v>
      </c>
      <c r="K62" s="39">
        <f>I62*$D$14</f>
        <v>2408.0000000000014</v>
      </c>
      <c r="L62" s="38">
        <f>J62*$D$14</f>
        <v>114.08160748500329</v>
      </c>
      <c r="M62" s="37">
        <f>IF(K62&lt;$D$16,$G$25*SQRT(K62)+$G$28*K62+$G$27*K62^2+$G$26*K62^3,$G$30+$G$31*(K62-$D$16)+$G$32*(K62-$D$16)^2+$G$33*(K62-$D$16)^3+$G$34*(K62-$D$16)^4+$G$35*(K62-$D$16)^5)</f>
        <v>114.0816074850031</v>
      </c>
    </row>
    <row r="63" spans="1:13" ht="12.75">
      <c r="A63" t="s">
        <v>32</v>
      </c>
      <c r="G63" s="9">
        <v>0</v>
      </c>
      <c r="I63" s="10">
        <f t="shared" si="1"/>
        <v>0.8800000000000004</v>
      </c>
      <c r="J63" s="10">
        <f t="shared" si="2"/>
        <v>0.035192861477317844</v>
      </c>
      <c r="K63" s="39">
        <f>I63*$D$14</f>
        <v>2464.0000000000014</v>
      </c>
      <c r="L63" s="38">
        <f>J63*$D$14</f>
        <v>98.54001213648996</v>
      </c>
      <c r="M63" s="37">
        <f>IF(K63&lt;$D$16,$G$25*SQRT(K63)+$G$28*K63+$G$27*K63^2+$G$26*K63^3,$G$30+$G$31*(K63-$D$16)+$G$32*(K63-$D$16)^2+$G$33*(K63-$D$16)^3+$G$34*(K63-$D$16)^4+$G$35*(K63-$D$16)^5)</f>
        <v>98.54001213648979</v>
      </c>
    </row>
    <row r="64" spans="1:13" ht="12.75">
      <c r="A64" t="s">
        <v>30</v>
      </c>
      <c r="G64" s="9">
        <v>0</v>
      </c>
      <c r="I64" s="10">
        <f t="shared" si="1"/>
        <v>0.9000000000000005</v>
      </c>
      <c r="J64" s="10">
        <f t="shared" si="2"/>
        <v>0.02959658289874799</v>
      </c>
      <c r="K64" s="39">
        <f>I64*$D$14</f>
        <v>2520.0000000000014</v>
      </c>
      <c r="L64" s="38">
        <f>J64*$D$14</f>
        <v>82.87043211649437</v>
      </c>
      <c r="M64" s="37">
        <f>IF(K64&lt;$D$16,$G$25*SQRT(K64)+$G$28*K64+$G$27*K64^2+$G$26*K64^3,$G$30+$G$31*(K64-$D$16)+$G$32*(K64-$D$16)^2+$G$33*(K64-$D$16)^3+$G$34*(K64-$D$16)^4+$G$35*(K64-$D$16)^5)</f>
        <v>82.87043211649424</v>
      </c>
    </row>
    <row r="65" spans="1:13" ht="12.75">
      <c r="A65" t="s">
        <v>11</v>
      </c>
      <c r="G65" s="9">
        <f>-(16.875*G45^2-7.25*G45+1.775)*G44</f>
        <v>-0.30551293731778423</v>
      </c>
      <c r="I65" s="10">
        <f t="shared" si="1"/>
        <v>0.9200000000000005</v>
      </c>
      <c r="J65" s="10">
        <f t="shared" si="2"/>
        <v>0.02395299904836845</v>
      </c>
      <c r="K65" s="39">
        <f>I65*$D$14</f>
        <v>2576.0000000000014</v>
      </c>
      <c r="L65" s="38">
        <f>J65*$D$14</f>
        <v>67.06839733543165</v>
      </c>
      <c r="M65" s="37">
        <f>IF(K65&lt;$D$16,$G$25*SQRT(K65)+$G$28*K65+$G$27*K65^2+$G$26*K65^3,$G$30+$G$31*(K65-$D$16)+$G$32*(K65-$D$16)^2+$G$33*(K65-$D$16)^3+$G$34*(K65-$D$16)^4+$G$35*(K65-$D$16)^5)</f>
        <v>67.06839733543154</v>
      </c>
    </row>
    <row r="66" spans="7:13" ht="12.75">
      <c r="G66" s="9"/>
      <c r="I66" s="10">
        <f t="shared" si="1"/>
        <v>0.9400000000000005</v>
      </c>
      <c r="J66" s="10">
        <f t="shared" si="2"/>
        <v>0.018256198238662927</v>
      </c>
      <c r="K66" s="39">
        <f>I66*$D$14</f>
        <v>2632.0000000000014</v>
      </c>
      <c r="L66" s="38">
        <f>J66*$D$14</f>
        <v>51.117355068256195</v>
      </c>
      <c r="M66" s="37">
        <f>IF(K66&lt;$D$16,$G$25*SQRT(K66)+$G$28*K66+$G$27*K66^2+$G$26*K66^3,$G$30+$G$31*(K66-$D$16)+$G$32*(K66-$D$16)^2+$G$33*(K66-$D$16)^3+$G$34*(K66-$D$16)^4+$G$35*(K66-$D$16)^5)</f>
        <v>51.11735506825596</v>
      </c>
    </row>
    <row r="67" spans="1:13" ht="12.75">
      <c r="A67" s="33" t="s">
        <v>15</v>
      </c>
      <c r="B67" s="8"/>
      <c r="C67" s="8"/>
      <c r="D67" s="8"/>
      <c r="E67" s="8"/>
      <c r="F67" s="8"/>
      <c r="G67" s="34"/>
      <c r="I67" s="10">
        <f t="shared" si="1"/>
        <v>0.9600000000000005</v>
      </c>
      <c r="J67" s="10">
        <f t="shared" si="2"/>
        <v>0.012495555314217794</v>
      </c>
      <c r="K67" s="39">
        <f>I67*$D$14</f>
        <v>2688.0000000000014</v>
      </c>
      <c r="L67" s="38">
        <f>J67*$D$14</f>
        <v>34.98755487980982</v>
      </c>
      <c r="M67" s="37">
        <f>IF(K67&lt;$D$16,$G$25*SQRT(K67)+$G$28*K67+$G$27*K67^2+$G$26*K67^3,$G$30+$G$31*(K67-$D$16)+$G$32*(K67-$D$16)^2+$G$33*(K67-$D$16)^3+$G$34*(K67-$D$16)^4+$G$35*(K67-$D$16)^5)</f>
        <v>34.98755487980958</v>
      </c>
    </row>
    <row r="68" spans="1:13" ht="12.75">
      <c r="A68" s="5" t="s">
        <v>19</v>
      </c>
      <c r="B68" s="6"/>
      <c r="C68" s="6"/>
      <c r="D68" s="6"/>
      <c r="E68" s="6"/>
      <c r="F68" s="6"/>
      <c r="G68" s="12">
        <f>SQRT(2/G48)</f>
        <v>0.29277002188455997</v>
      </c>
      <c r="I68" s="10">
        <f t="shared" si="1"/>
        <v>0.9800000000000005</v>
      </c>
      <c r="J68" s="10">
        <f t="shared" si="2"/>
        <v>0.006655333410775106</v>
      </c>
      <c r="K68" s="39">
        <f>I68*$D$14</f>
        <v>2744.0000000000014</v>
      </c>
      <c r="L68" s="38">
        <f>J68*$D$14</f>
        <v>18.634933550170295</v>
      </c>
      <c r="M68" s="37">
        <f>IF(K68&lt;$D$16,$G$25*SQRT(K68)+$G$28*K68+$G$27*K68^2+$G$26*K68^3,$G$30+$G$31*(K68-$D$16)+$G$32*(K68-$D$16)^2+$G$33*(K68-$D$16)^3+$G$34*(K68-$D$16)^4+$G$35*(K68-$D$16)^5)</f>
        <v>18.63493355017016</v>
      </c>
    </row>
    <row r="69" spans="1:13" ht="12.75">
      <c r="A69" s="5" t="s">
        <v>1</v>
      </c>
      <c r="B69" s="6"/>
      <c r="C69" s="6"/>
      <c r="D69" s="6"/>
      <c r="E69" s="6"/>
      <c r="F69" s="6"/>
      <c r="G69" s="12">
        <f>5/4*G68/G45^1.5-3*G44/2/G45^2-G52</f>
        <v>-1.375119746410968</v>
      </c>
      <c r="I69" s="10">
        <f t="shared" si="1"/>
        <v>1.0000000000000004</v>
      </c>
      <c r="J69" s="10">
        <f t="shared" si="2"/>
        <v>0.000714285714285581</v>
      </c>
      <c r="K69" s="40">
        <f>I69*$D$14</f>
        <v>2800.0000000000014</v>
      </c>
      <c r="L69" s="38">
        <f>J69*$D$14</f>
        <v>1.999999999999627</v>
      </c>
      <c r="M69" s="37">
        <f>IF(K69&lt;$D$16,$G$25*SQRT(K69)+$G$28*K69+$G$27*K69^2+$G$26*K69^3,$G$30+$G$31*(K69-$D$16)+$G$32*(K69-$D$16)^2+$G$33*(K69-$D$16)^3+$G$34*(K69-$D$16)^4+$G$35*(K69-$D$16)^5)</f>
        <v>1.999999999999261</v>
      </c>
    </row>
    <row r="70" spans="1:7" ht="12.75">
      <c r="A70" s="5" t="s">
        <v>21</v>
      </c>
      <c r="B70" s="6"/>
      <c r="C70" s="6"/>
      <c r="D70" s="6"/>
      <c r="E70" s="6"/>
      <c r="F70" s="6"/>
      <c r="G70" s="12">
        <f>(G68/2*SQRT(G45)-G69*G45^2-G44/2)/2/G45^3</f>
        <v>1.4528278126996186</v>
      </c>
    </row>
    <row r="71" spans="1:7" ht="12.75">
      <c r="A71" s="7" t="s">
        <v>22</v>
      </c>
      <c r="B71" s="8"/>
      <c r="C71" s="8"/>
      <c r="D71" s="8"/>
      <c r="E71" s="8"/>
      <c r="F71" s="8"/>
      <c r="G71" s="13">
        <f>-G68/2/SQRT(G45)-2*G69*G45-3*G70*G45^2</f>
        <v>0.17550416344814562</v>
      </c>
    </row>
  </sheetData>
  <sheetProtection/>
  <mergeCells count="1">
    <mergeCell ref="E14:E21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Rochelle</dc:creator>
  <cp:keywords/>
  <dc:description/>
  <cp:lastModifiedBy>Pierre</cp:lastModifiedBy>
  <cp:lastPrinted>2013-03-13T10:37:00Z</cp:lastPrinted>
  <dcterms:created xsi:type="dcterms:W3CDTF">2010-02-21T09:22:27Z</dcterms:created>
  <dcterms:modified xsi:type="dcterms:W3CDTF">2013-04-06T16:36:57Z</dcterms:modified>
  <cp:category/>
  <cp:version/>
  <cp:contentType/>
  <cp:contentStatus/>
</cp:coreProperties>
</file>