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<sst xmlns="http://schemas.openxmlformats.org/spreadsheetml/2006/main" count="66" uniqueCount="66">
  <si>
    <t>Simplified model of on-off driving sequences between 2 speed limits, vmin and vmax, optization</t>
  </si>
  <si>
    <t>motoring between point 0 (vmin) and point 1 (vmax), coasting between point 1 (vmax) and point 2 (vmin) on a straight level road without wind.</t>
  </si>
  <si>
    <t xml:space="preserve">boxes in ligth blue must be filled with your values </t>
  </si>
  <si>
    <t>ambiant characteristics :</t>
  </si>
  <si>
    <t>vehicle characteristics :</t>
  </si>
  <si>
    <t>theoretical performances :</t>
  </si>
  <si>
    <t>propulsion characteristics :</t>
  </si>
  <si>
    <t>starting energy (if applicable) :</t>
  </si>
  <si>
    <t>(50 to 250J)</t>
  </si>
  <si>
    <t>gravity (m/s2)</t>
  </si>
  <si>
    <t>aero friction :</t>
  </si>
  <si>
    <t>mechanical friction :</t>
  </si>
  <si>
    <t>theoretical propulsion force Fmean (N)</t>
  </si>
  <si>
    <t>engine/motor efficiency (-)</t>
  </si>
  <si>
    <t>Estart (J)</t>
  </si>
  <si>
    <t>atmospheric pressure (mb)</t>
  </si>
  <si>
    <t>frontal area S (m2)</t>
  </si>
  <si>
    <t>mechanical friction factor a (-)</t>
  </si>
  <si>
    <t>theoretical propulsion power Pmean (W)</t>
  </si>
  <si>
    <t>engine/motor torque Cm (Nm)</t>
  </si>
  <si>
    <t>intermediate constants (for calculus) :</t>
  </si>
  <si>
    <t>atmospheric temperature</t>
  </si>
  <si>
    <t>drag factor Cx</t>
  </si>
  <si>
    <t>total mass m (kg)</t>
  </si>
  <si>
    <t>race theoretical energy needs Eref (J)</t>
  </si>
  <si>
    <t>number of teeth of the crown</t>
  </si>
  <si>
    <t>Aoff</t>
  </si>
  <si>
    <t>spec. mass of air (kg/m3)</t>
  </si>
  <si>
    <t>equiv. mass of rotational inertia mi (kg)</t>
  </si>
  <si>
    <t>number of teeth of the pinion</t>
  </si>
  <si>
    <t>Aon</t>
  </si>
  <si>
    <t>race characteristics :</t>
  </si>
  <si>
    <t>fuel characteristics :</t>
  </si>
  <si>
    <t xml:space="preserve">gear ratio </t>
  </si>
  <si>
    <t>B</t>
  </si>
  <si>
    <t>imposed mean speed vref (km/h)</t>
  </si>
  <si>
    <t>race distance distref (km)</t>
  </si>
  <si>
    <t>Hcarbl (kJ/l)</t>
  </si>
  <si>
    <t>wheel radius R (m)</t>
  </si>
  <si>
    <t>number of laps</t>
  </si>
  <si>
    <t>transmission efficiency etap (-)</t>
  </si>
  <si>
    <t>corresponding duration (s)</t>
  </si>
  <si>
    <t>mean lap length (m)</t>
  </si>
  <si>
    <t>propulsion force Fp (N)</t>
  </si>
  <si>
    <t>passable grade with force Fp (%)</t>
  </si>
  <si>
    <t>car speed limit vmaxmax (km/h)</t>
  </si>
  <si>
    <t>vmin (km/h)</t>
  </si>
  <si>
    <t>vmax (km/h)</t>
  </si>
  <si>
    <t>x1-x0 (m, motoring phase)</t>
  </si>
  <si>
    <t>t1-t0 (s, engine on)</t>
  </si>
  <si>
    <t>x2-x1 (m, coasting phase)</t>
  </si>
  <si>
    <t>t2-t1 (s, engine off)</t>
  </si>
  <si>
    <t>d=x2-x0 (m, total distance)</t>
  </si>
  <si>
    <t>t=t2-t0 (s, duration of the sequence)</t>
  </si>
  <si>
    <t>E (J, consumed energy)</t>
  </si>
  <si>
    <t>e (J/m, specific energy)</t>
  </si>
  <si>
    <t>ds (km/kWh, specific distance)</t>
  </si>
  <si>
    <t>vmean (km/h, average speed)</t>
  </si>
  <si>
    <t>E (kJ for distance distref)</t>
  </si>
  <si>
    <t>rpm_min (rpm, minimum engine speed)</t>
  </si>
  <si>
    <t>rpm_max (rpm, maximum engine speed)</t>
  </si>
  <si>
    <t>ds' (km/l, specific distance)</t>
  </si>
  <si>
    <t>number of sequences during a lap</t>
  </si>
  <si>
    <t>motoring time ratio</t>
  </si>
  <si>
    <t>vmean must be higher than vref</t>
  </si>
  <si>
    <t>©pierre.rochelle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</si>
</sst>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"/>
    <numFmt numFmtId="167" formatCode="0"/>
    <numFmt numFmtId="168" formatCode="0.000"/>
    <numFmt numFmtId="169" formatCode="0.0000"/>
    <numFmt numFmtId="170" formatCode="0.00000"/>
  </numFmts>
  <fonts count="4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wrapText="1"/>
    </xf>
    <xf numFmtId="164" fontId="3" fillId="0" borderId="2" xfId="0" applyFont="1" applyBorder="1" applyAlignment="1">
      <alignment wrapText="1"/>
    </xf>
    <xf numFmtId="164" fontId="0" fillId="0" borderId="3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0" xfId="0" applyAlignment="1">
      <alignment wrapText="1"/>
    </xf>
    <xf numFmtId="164" fontId="3" fillId="0" borderId="5" xfId="0" applyFont="1" applyBorder="1" applyAlignment="1">
      <alignment wrapText="1"/>
    </xf>
    <xf numFmtId="164" fontId="2" fillId="0" borderId="6" xfId="0" applyFont="1" applyBorder="1" applyAlignment="1">
      <alignment wrapText="1"/>
    </xf>
    <xf numFmtId="164" fontId="2" fillId="0" borderId="7" xfId="0" applyFont="1" applyBorder="1" applyAlignment="1">
      <alignment horizontal="center" wrapText="1"/>
    </xf>
    <xf numFmtId="164" fontId="0" fillId="0" borderId="8" xfId="0" applyFont="1" applyFill="1" applyBorder="1" applyAlignment="1">
      <alignment wrapText="1"/>
    </xf>
    <xf numFmtId="164" fontId="0" fillId="0" borderId="9" xfId="0" applyFill="1" applyBorder="1" applyAlignment="1">
      <alignment horizontal="center" wrapText="1"/>
    </xf>
    <xf numFmtId="164" fontId="0" fillId="0" borderId="7" xfId="0" applyBorder="1" applyAlignment="1">
      <alignment horizontal="center" wrapText="1"/>
    </xf>
    <xf numFmtId="164" fontId="2" fillId="0" borderId="5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5" fontId="0" fillId="0" borderId="11" xfId="0" applyNumberFormat="1" applyBorder="1" applyAlignment="1">
      <alignment horizontal="center" wrapText="1"/>
    </xf>
    <xf numFmtId="165" fontId="0" fillId="2" borderId="11" xfId="0" applyNumberFormat="1" applyFill="1" applyBorder="1" applyAlignment="1">
      <alignment horizontal="center" wrapText="1"/>
    </xf>
    <xf numFmtId="164" fontId="0" fillId="0" borderId="8" xfId="0" applyFont="1" applyBorder="1" applyAlignment="1">
      <alignment wrapText="1"/>
    </xf>
    <xf numFmtId="164" fontId="0" fillId="2" borderId="9" xfId="0" applyFill="1" applyBorder="1" applyAlignment="1">
      <alignment horizontal="center" wrapText="1"/>
    </xf>
    <xf numFmtId="164" fontId="0" fillId="2" borderId="0" xfId="0" applyFill="1" applyAlignment="1">
      <alignment horizontal="center" wrapText="1"/>
    </xf>
    <xf numFmtId="164" fontId="0" fillId="2" borderId="11" xfId="0" applyFill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5" fontId="2" fillId="0" borderId="5" xfId="0" applyNumberFormat="1" applyFont="1" applyBorder="1" applyAlignment="1">
      <alignment wrapText="1"/>
    </xf>
    <xf numFmtId="167" fontId="0" fillId="0" borderId="9" xfId="0" applyNumberFormat="1" applyBorder="1" applyAlignment="1">
      <alignment horizontal="center" wrapText="1"/>
    </xf>
    <xf numFmtId="168" fontId="0" fillId="0" borderId="10" xfId="0" applyNumberFormat="1" applyFont="1" applyBorder="1" applyAlignment="1">
      <alignment wrapText="1"/>
    </xf>
    <xf numFmtId="169" fontId="0" fillId="0" borderId="11" xfId="0" applyNumberFormat="1" applyBorder="1" applyAlignment="1">
      <alignment horizontal="center" wrapText="1"/>
    </xf>
    <xf numFmtId="164" fontId="0" fillId="0" borderId="6" xfId="0" applyFont="1" applyBorder="1" applyAlignment="1">
      <alignment wrapText="1"/>
    </xf>
    <xf numFmtId="165" fontId="0" fillId="0" borderId="7" xfId="0" applyNumberFormat="1" applyBorder="1" applyAlignment="1">
      <alignment horizontal="center" wrapText="1"/>
    </xf>
    <xf numFmtId="165" fontId="0" fillId="0" borderId="10" xfId="0" applyNumberFormat="1" applyFont="1" applyBorder="1" applyAlignment="1">
      <alignment wrapText="1"/>
    </xf>
    <xf numFmtId="164" fontId="3" fillId="0" borderId="1" xfId="0" applyFont="1" applyFill="1" applyBorder="1" applyAlignment="1">
      <alignment wrapText="1"/>
    </xf>
    <xf numFmtId="164" fontId="0" fillId="0" borderId="0" xfId="0" applyBorder="1" applyAlignment="1">
      <alignment wrapText="1"/>
    </xf>
    <xf numFmtId="168" fontId="0" fillId="0" borderId="11" xfId="0" applyNumberFormat="1" applyBorder="1" applyAlignment="1">
      <alignment horizontal="center" wrapText="1"/>
    </xf>
    <xf numFmtId="165" fontId="0" fillId="0" borderId="8" xfId="0" applyNumberFormat="1" applyFont="1" applyBorder="1" applyAlignment="1">
      <alignment wrapText="1"/>
    </xf>
    <xf numFmtId="170" fontId="0" fillId="0" borderId="9" xfId="0" applyNumberFormat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0" fillId="2" borderId="0" xfId="0" applyFill="1" applyBorder="1" applyAlignment="1">
      <alignment horizontal="center" wrapText="1"/>
    </xf>
    <xf numFmtId="164" fontId="0" fillId="0" borderId="12" xfId="0" applyFont="1" applyFill="1" applyBorder="1" applyAlignment="1">
      <alignment wrapText="1"/>
    </xf>
    <xf numFmtId="164" fontId="0" fillId="0" borderId="12" xfId="0" applyFill="1" applyBorder="1" applyAlignment="1">
      <alignment horizontal="center" wrapText="1"/>
    </xf>
    <xf numFmtId="164" fontId="0" fillId="0" borderId="10" xfId="0" applyFont="1" applyFill="1" applyBorder="1" applyAlignment="1">
      <alignment wrapText="1"/>
    </xf>
    <xf numFmtId="164" fontId="0" fillId="0" borderId="11" xfId="0" applyBorder="1" applyAlignment="1">
      <alignment wrapText="1"/>
    </xf>
    <xf numFmtId="164" fontId="0" fillId="2" borderId="13" xfId="0" applyFill="1" applyBorder="1" applyAlignment="1">
      <alignment horizontal="center" wrapText="1"/>
    </xf>
    <xf numFmtId="164" fontId="0" fillId="0" borderId="13" xfId="0" applyFont="1" applyBorder="1" applyAlignment="1">
      <alignment wrapText="1"/>
    </xf>
    <xf numFmtId="166" fontId="0" fillId="0" borderId="13" xfId="0" applyNumberFormat="1" applyBorder="1" applyAlignment="1">
      <alignment horizontal="center" wrapText="1"/>
    </xf>
    <xf numFmtId="166" fontId="0" fillId="0" borderId="2" xfId="0" applyNumberFormat="1" applyFont="1" applyBorder="1" applyAlignment="1">
      <alignment wrapText="1"/>
    </xf>
    <xf numFmtId="166" fontId="0" fillId="0" borderId="4" xfId="0" applyNumberForma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0" fillId="0" borderId="14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3" borderId="14" xfId="0" applyFont="1" applyFill="1" applyBorder="1" applyAlignment="1">
      <alignment horizontal="center" wrapText="1"/>
    </xf>
    <xf numFmtId="164" fontId="0" fillId="3" borderId="1" xfId="0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3" borderId="0" xfId="0" applyNumberFormat="1" applyFill="1" applyAlignment="1">
      <alignment horizontal="center"/>
    </xf>
    <xf numFmtId="168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7"/>
  <sheetViews>
    <sheetView tabSelected="1" workbookViewId="0" topLeftCell="A1">
      <pane ySplit="13" topLeftCell="A14" activePane="bottomLeft" state="frozen"/>
      <selection pane="topLeft" activeCell="A1" sqref="A1"/>
      <selection pane="bottomLeft" activeCell="N9" sqref="N9"/>
    </sheetView>
  </sheetViews>
  <sheetFormatPr defaultColWidth="11.421875" defaultRowHeight="12.75"/>
  <cols>
    <col min="1" max="1" width="15.140625" style="0" customWidth="1"/>
    <col min="2" max="2" width="11.57421875" style="0" customWidth="1"/>
    <col min="3" max="3" width="13.7109375" style="0" customWidth="1"/>
    <col min="4" max="4" width="12.8515625" style="0" customWidth="1"/>
    <col min="5" max="5" width="13.7109375" style="0" customWidth="1"/>
    <col min="7" max="7" width="14.57421875" style="0" customWidth="1"/>
    <col min="8" max="8" width="12.421875" style="0" customWidth="1"/>
    <col min="10" max="10" width="13.28125" style="0" customWidth="1"/>
    <col min="11" max="11" width="11.8515625" style="0" customWidth="1"/>
    <col min="12" max="12" width="15.140625" style="0" customWidth="1"/>
    <col min="13" max="13" width="11.57421875" style="0" customWidth="1"/>
    <col min="14" max="14" width="15.00390625" style="0" customWidth="1"/>
    <col min="15" max="15" width="13.57421875" style="0" customWidth="1"/>
  </cols>
  <sheetData>
    <row r="1" s="1" customFormat="1" ht="12.75">
      <c r="A1" s="1" t="s">
        <v>0</v>
      </c>
    </row>
    <row r="2" s="3" customFormat="1" ht="12.75">
      <c r="A2" s="2" t="s">
        <v>1</v>
      </c>
    </row>
    <row r="3" s="3" customFormat="1" ht="12.75">
      <c r="A3" s="4" t="s">
        <v>2</v>
      </c>
    </row>
    <row r="4" spans="1:13" s="9" customFormat="1" ht="27" customHeight="1">
      <c r="A4" s="5" t="s">
        <v>3</v>
      </c>
      <c r="B4" s="5"/>
      <c r="C4" s="6" t="s">
        <v>4</v>
      </c>
      <c r="D4" s="6"/>
      <c r="E4" s="7"/>
      <c r="F4" s="8"/>
      <c r="G4" s="5" t="s">
        <v>5</v>
      </c>
      <c r="H4" s="5"/>
      <c r="J4" s="10" t="s">
        <v>6</v>
      </c>
      <c r="K4" s="10"/>
      <c r="L4" s="11" t="s">
        <v>7</v>
      </c>
      <c r="M4" s="12" t="s">
        <v>8</v>
      </c>
    </row>
    <row r="5" spans="1:13" s="9" customFormat="1" ht="38.25" customHeight="1">
      <c r="A5" s="13" t="s">
        <v>9</v>
      </c>
      <c r="B5" s="14">
        <v>9.81</v>
      </c>
      <c r="C5" s="11" t="s">
        <v>10</v>
      </c>
      <c r="D5" s="15"/>
      <c r="E5" s="16" t="s">
        <v>11</v>
      </c>
      <c r="F5" s="16"/>
      <c r="G5" s="17" t="s">
        <v>12</v>
      </c>
      <c r="H5" s="18">
        <f>B8/2*D6*D7*(B10/3.6)^2+F7*B5*F6</f>
        <v>4.938472134919336</v>
      </c>
      <c r="J5" s="17" t="s">
        <v>13</v>
      </c>
      <c r="K5" s="19">
        <v>0.8</v>
      </c>
      <c r="L5" s="20" t="s">
        <v>14</v>
      </c>
      <c r="M5" s="21">
        <v>150</v>
      </c>
    </row>
    <row r="6" spans="1:13" s="9" customFormat="1" ht="38.25" customHeight="1">
      <c r="A6" s="9" t="s">
        <v>15</v>
      </c>
      <c r="B6" s="22">
        <v>1013</v>
      </c>
      <c r="C6" s="17" t="s">
        <v>16</v>
      </c>
      <c r="D6" s="23">
        <v>0.42</v>
      </c>
      <c r="E6" s="17" t="s">
        <v>17</v>
      </c>
      <c r="F6" s="23">
        <v>0.0032</v>
      </c>
      <c r="G6" s="17" t="s">
        <v>18</v>
      </c>
      <c r="H6" s="24">
        <f>H5*B10/3.6</f>
        <v>34.294945381384274</v>
      </c>
      <c r="J6" s="17" t="s">
        <v>19</v>
      </c>
      <c r="K6" s="19">
        <v>1.2</v>
      </c>
      <c r="L6" s="25" t="s">
        <v>20</v>
      </c>
      <c r="M6" s="25"/>
    </row>
    <row r="7" spans="1:13" s="9" customFormat="1" ht="36" customHeight="1">
      <c r="A7" s="9" t="s">
        <v>21</v>
      </c>
      <c r="B7" s="22">
        <v>25</v>
      </c>
      <c r="C7" s="20" t="s">
        <v>22</v>
      </c>
      <c r="D7" s="21">
        <v>0.15</v>
      </c>
      <c r="E7" s="17" t="s">
        <v>23</v>
      </c>
      <c r="F7" s="23">
        <v>100</v>
      </c>
      <c r="G7" s="20" t="s">
        <v>24</v>
      </c>
      <c r="H7" s="26">
        <f>H6*B12</f>
        <v>80250.1721924392</v>
      </c>
      <c r="J7" s="17" t="s">
        <v>25</v>
      </c>
      <c r="K7" s="22">
        <v>139</v>
      </c>
      <c r="L7" s="27" t="s">
        <v>26</v>
      </c>
      <c r="M7" s="28">
        <f>(-$F$7*$B$5*$F$6)/($F$7+$F$8)</f>
        <v>-0.030776470588235297</v>
      </c>
    </row>
    <row r="8" spans="1:13" s="9" customFormat="1" ht="36" customHeight="1">
      <c r="A8" s="29" t="s">
        <v>27</v>
      </c>
      <c r="B8" s="30">
        <f>B6*100/287/(B7+273)</f>
        <v>1.184435142529757</v>
      </c>
      <c r="E8" s="20" t="s">
        <v>28</v>
      </c>
      <c r="F8" s="21">
        <v>2</v>
      </c>
      <c r="J8" s="17" t="s">
        <v>29</v>
      </c>
      <c r="K8" s="22">
        <v>12</v>
      </c>
      <c r="L8" s="31" t="s">
        <v>30</v>
      </c>
      <c r="M8" s="28">
        <f>($K$12-$F$7*$B$5*$F$6)/($F$7+$F$8)</f>
        <v>0.5086434640522876</v>
      </c>
    </row>
    <row r="9" spans="1:13" s="9" customFormat="1" ht="24" customHeight="1">
      <c r="A9" s="32" t="s">
        <v>31</v>
      </c>
      <c r="B9" s="32"/>
      <c r="E9" s="33"/>
      <c r="F9" s="33"/>
      <c r="G9" s="10" t="s">
        <v>32</v>
      </c>
      <c r="H9" s="10"/>
      <c r="J9" s="17" t="s">
        <v>33</v>
      </c>
      <c r="K9" s="34">
        <f>12/139</f>
        <v>0.08633093525179857</v>
      </c>
      <c r="L9" s="35" t="s">
        <v>34</v>
      </c>
      <c r="M9" s="36">
        <f>1/2*$B$8*$D$6*$D$7/($F$7+$F$8)</f>
        <v>0.0003657814410753661</v>
      </c>
    </row>
    <row r="10" spans="1:11" s="9" customFormat="1" ht="26.25" customHeight="1">
      <c r="A10" s="37" t="s">
        <v>35</v>
      </c>
      <c r="B10" s="38">
        <v>25</v>
      </c>
      <c r="C10" s="39" t="s">
        <v>36</v>
      </c>
      <c r="D10" s="40">
        <f>B10*B12/3600</f>
        <v>16.25</v>
      </c>
      <c r="E10" s="17"/>
      <c r="F10" s="37"/>
      <c r="G10" s="20" t="s">
        <v>37</v>
      </c>
      <c r="H10" s="14">
        <v>32010</v>
      </c>
      <c r="J10" s="17" t="s">
        <v>38</v>
      </c>
      <c r="K10" s="19">
        <v>0.24</v>
      </c>
    </row>
    <row r="11" spans="1:11" s="9" customFormat="1" ht="27.75" customHeight="1">
      <c r="A11" s="41" t="s">
        <v>39</v>
      </c>
      <c r="B11" s="38">
        <v>10</v>
      </c>
      <c r="D11" s="42"/>
      <c r="F11" s="37"/>
      <c r="J11" s="17" t="s">
        <v>40</v>
      </c>
      <c r="K11" s="19">
        <v>0.95</v>
      </c>
    </row>
    <row r="12" spans="1:15" s="9" customFormat="1" ht="28.5" customHeight="1">
      <c r="A12" s="13" t="s">
        <v>41</v>
      </c>
      <c r="B12" s="43">
        <f>39*60</f>
        <v>2340</v>
      </c>
      <c r="C12" s="44" t="s">
        <v>42</v>
      </c>
      <c r="D12" s="14">
        <f>D10/B11*1000</f>
        <v>1625</v>
      </c>
      <c r="E12" s="20"/>
      <c r="J12" s="20" t="s">
        <v>43</v>
      </c>
      <c r="K12" s="45">
        <f>K6/K9/K10*K11</f>
        <v>55.02083333333333</v>
      </c>
      <c r="L12" s="46" t="s">
        <v>44</v>
      </c>
      <c r="M12" s="47">
        <f>K12/F7/B5*100</f>
        <v>5.608647638464151</v>
      </c>
      <c r="N12" s="48" t="s">
        <v>45</v>
      </c>
      <c r="O12" s="47">
        <f>IF(M8&gt;0,SQRT(M8/M9)*3.6,0)</f>
        <v>134.24508729081177</v>
      </c>
    </row>
    <row r="13" spans="1:18" s="53" customFormat="1" ht="42" customHeight="1">
      <c r="A13" s="49" t="s">
        <v>46</v>
      </c>
      <c r="B13" s="49" t="s">
        <v>47</v>
      </c>
      <c r="C13" s="49" t="s">
        <v>48</v>
      </c>
      <c r="D13" s="49" t="s">
        <v>49</v>
      </c>
      <c r="E13" s="49" t="s">
        <v>50</v>
      </c>
      <c r="F13" s="50" t="s">
        <v>51</v>
      </c>
      <c r="G13" s="50" t="s">
        <v>52</v>
      </c>
      <c r="H13" s="50" t="s">
        <v>53</v>
      </c>
      <c r="I13" s="50" t="s">
        <v>54</v>
      </c>
      <c r="J13" s="50" t="s">
        <v>55</v>
      </c>
      <c r="K13" s="51" t="s">
        <v>56</v>
      </c>
      <c r="L13" s="52" t="s">
        <v>57</v>
      </c>
      <c r="M13" s="50" t="s">
        <v>58</v>
      </c>
      <c r="N13" s="50" t="s">
        <v>59</v>
      </c>
      <c r="O13" s="50" t="s">
        <v>60</v>
      </c>
      <c r="P13" s="52" t="s">
        <v>61</v>
      </c>
      <c r="Q13" s="50" t="s">
        <v>62</v>
      </c>
      <c r="R13" s="50" t="s">
        <v>63</v>
      </c>
    </row>
    <row r="14" spans="1:76" s="54" customFormat="1" ht="12.75">
      <c r="A14" s="54">
        <f>B10</f>
        <v>25</v>
      </c>
      <c r="B14" s="54">
        <f>B10+0.1</f>
        <v>25.1</v>
      </c>
      <c r="C14" s="55">
        <f aca="true" t="shared" si="0" ref="C14:C34">-(LOG(ABS(1-$M$9/$M$8*($B14/3.6)^2),2.7182818)-LOG(ABS(1-$M$9/$M$8*($A14/3.6)^2),2.7182818))/2/$M$9</f>
        <v>0.3937138127877928</v>
      </c>
      <c r="D14" s="55">
        <f aca="true" t="shared" si="1" ref="D14:D34">(LOG((SQRT($M$8/$M$9)+B14/3.6)/(SQRT($M$8/$M$9)-B14/3.6),2.7182818)-LOG((SQRT($M$8/$M$9)+A14/3.6)/(SQRT($M$8/$M$9)-A14/3.6),2.7182818))/2/SQRT($M$8*$M$9)</f>
        <v>0.056581620368369626</v>
      </c>
      <c r="E14" s="55">
        <f aca="true" t="shared" si="2" ref="E14:E34">-(LOG(ABS(1-$M$9/$M$7*($A14/3.6)^2),2.7182818)-LOG(ABS(1-$M$9/$M$7*($B14/3.6)^2),2.7182818))/2/$M$9</f>
        <v>3.9863633586526848</v>
      </c>
      <c r="F14" s="55">
        <f aca="true" t="shared" si="3" ref="F14:F34">-(ATAN(SQRT(-$M$9/$M$7)*A14/3.6)-ATAN(SQRT(-$M$9/$M$7)*B14/3.6))/SQRT(-$M$9*$M$7)</f>
        <v>0.5728910923541924</v>
      </c>
      <c r="G14" s="55">
        <f aca="true" t="shared" si="4" ref="G14:G34">C14+E14</f>
        <v>4.380077171440478</v>
      </c>
      <c r="H14" s="55">
        <f aca="true" t="shared" si="5" ref="H14:H34">D14+F14</f>
        <v>0.6294727127225621</v>
      </c>
      <c r="I14" s="56">
        <f aca="true" t="shared" si="6" ref="I14:I34">$K$12*C14/$K$11/$K$5+$M$5</f>
        <v>178.50323957161623</v>
      </c>
      <c r="J14" s="55">
        <f>I14/G14</f>
        <v>40.75344624873625</v>
      </c>
      <c r="K14" s="57">
        <f>3.6/J14*1000</f>
        <v>88.33608765324072</v>
      </c>
      <c r="L14" s="58">
        <f>G14/H14*3.6</f>
        <v>25.049978336607474</v>
      </c>
      <c r="M14" s="59">
        <f aca="true" t="shared" si="7" ref="M14:M34">J14*$D$10</f>
        <v>662.2435015419641</v>
      </c>
      <c r="N14" s="56">
        <f aca="true" t="shared" si="8" ref="N14:N34">A14/2/PI()/$K$10/$K$9/60*1000</f>
        <v>3200.598537293613</v>
      </c>
      <c r="O14" s="56">
        <f aca="true" t="shared" si="9" ref="O14:O34">B14/2/PI()/$K$10/$K$9/60*1000</f>
        <v>3213.400931442787</v>
      </c>
      <c r="P14" s="60">
        <f aca="true" t="shared" si="10" ref="P14:P34">K14/3600*$H$10</f>
        <v>785.4550460500654</v>
      </c>
      <c r="Q14" s="59">
        <f aca="true" t="shared" si="11" ref="Q14:Q34">$D$12/G14</f>
        <v>370.9980295770875</v>
      </c>
      <c r="R14" s="61">
        <f>D14/H14</f>
        <v>0.08988732827455823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</row>
    <row r="15" spans="1:18" ht="12.75">
      <c r="A15" s="54">
        <f>A14-0.5</f>
        <v>24.5</v>
      </c>
      <c r="B15" s="54">
        <f>B14+0.6</f>
        <v>25.700000000000003</v>
      </c>
      <c r="C15" s="55">
        <f t="shared" si="0"/>
        <v>4.734780589178057</v>
      </c>
      <c r="D15" s="55">
        <f t="shared" si="1"/>
        <v>0.6790826654097032</v>
      </c>
      <c r="E15" s="55">
        <f t="shared" si="2"/>
        <v>47.85689348966987</v>
      </c>
      <c r="F15" s="55">
        <f t="shared" si="3"/>
        <v>6.864894388766673</v>
      </c>
      <c r="G15" s="55">
        <f t="shared" si="4"/>
        <v>52.59167407884793</v>
      </c>
      <c r="H15" s="55">
        <f t="shared" si="5"/>
        <v>7.543977054176376</v>
      </c>
      <c r="I15" s="56">
        <f t="shared" si="6"/>
        <v>492.77838640403644</v>
      </c>
      <c r="J15" s="55">
        <f aca="true" t="shared" si="12" ref="J15:J34">I15/G15</f>
        <v>9.369893524690614</v>
      </c>
      <c r="K15" s="57">
        <f aca="true" t="shared" si="13" ref="K15:K34">3.6/J15*1000</f>
        <v>384.2092752189379</v>
      </c>
      <c r="L15" s="58">
        <f aca="true" t="shared" si="14" ref="L15:L34">G15/H15*3.6</f>
        <v>25.096845513208272</v>
      </c>
      <c r="M15" s="59">
        <f t="shared" si="7"/>
        <v>152.26076977622247</v>
      </c>
      <c r="N15" s="56">
        <f t="shared" si="8"/>
        <v>3136.5865665477404</v>
      </c>
      <c r="O15" s="56">
        <f t="shared" si="9"/>
        <v>3290.215296337834</v>
      </c>
      <c r="P15" s="60">
        <f t="shared" si="10"/>
        <v>3416.2608054883895</v>
      </c>
      <c r="Q15" s="59">
        <f t="shared" si="11"/>
        <v>30.89842695563794</v>
      </c>
      <c r="R15" s="61">
        <f aca="true" t="shared" si="15" ref="R15:R34">D15/H15</f>
        <v>0.09001653379019231</v>
      </c>
    </row>
    <row r="16" spans="1:18" ht="12.75">
      <c r="A16" s="54">
        <f aca="true" t="shared" si="16" ref="A16:A34">A15-0.5</f>
        <v>24</v>
      </c>
      <c r="B16" s="54">
        <f aca="true" t="shared" si="17" ref="B16:B34">B15+0.6</f>
        <v>26.300000000000004</v>
      </c>
      <c r="C16" s="55">
        <f t="shared" si="0"/>
        <v>9.094915535075218</v>
      </c>
      <c r="D16" s="55">
        <f t="shared" si="1"/>
        <v>1.3017906890534143</v>
      </c>
      <c r="E16" s="55">
        <f t="shared" si="2"/>
        <v>91.74826838791512</v>
      </c>
      <c r="F16" s="55">
        <f t="shared" si="3"/>
        <v>13.139674112584826</v>
      </c>
      <c r="G16" s="55">
        <f t="shared" si="4"/>
        <v>100.84318392299033</v>
      </c>
      <c r="H16" s="55">
        <f t="shared" si="5"/>
        <v>14.44146480163824</v>
      </c>
      <c r="I16" s="56">
        <f t="shared" si="6"/>
        <v>808.4339892580496</v>
      </c>
      <c r="J16" s="55">
        <f t="shared" si="12"/>
        <v>8.016743996058437</v>
      </c>
      <c r="K16" s="57">
        <f t="shared" si="13"/>
        <v>449.06011739554094</v>
      </c>
      <c r="L16" s="58">
        <f t="shared" si="14"/>
        <v>25.138409926504302</v>
      </c>
      <c r="M16" s="59">
        <f t="shared" si="7"/>
        <v>130.27208993594962</v>
      </c>
      <c r="N16" s="56">
        <f t="shared" si="8"/>
        <v>3072.5745958018683</v>
      </c>
      <c r="O16" s="56">
        <f t="shared" si="9"/>
        <v>3367.0296612328816</v>
      </c>
      <c r="P16" s="60">
        <f t="shared" si="10"/>
        <v>3992.8928771753513</v>
      </c>
      <c r="Q16" s="59">
        <f t="shared" si="11"/>
        <v>16.114128261171757</v>
      </c>
      <c r="R16" s="61">
        <f t="shared" si="15"/>
        <v>0.09014256565620263</v>
      </c>
    </row>
    <row r="17" spans="1:18" ht="12.75">
      <c r="A17" s="54">
        <f t="shared" si="16"/>
        <v>23.5</v>
      </c>
      <c r="B17" s="54">
        <f t="shared" si="17"/>
        <v>26.900000000000006</v>
      </c>
      <c r="C17" s="55">
        <f t="shared" si="0"/>
        <v>13.474611715090033</v>
      </c>
      <c r="D17" s="55">
        <f t="shared" si="1"/>
        <v>1.924731214051273</v>
      </c>
      <c r="E17" s="55">
        <f t="shared" si="2"/>
        <v>135.63662406385583</v>
      </c>
      <c r="F17" s="55">
        <f t="shared" si="3"/>
        <v>19.39830326451364</v>
      </c>
      <c r="G17" s="55">
        <f t="shared" si="4"/>
        <v>149.11123577894585</v>
      </c>
      <c r="H17" s="55">
        <f t="shared" si="5"/>
        <v>21.323034478564914</v>
      </c>
      <c r="I17" s="56">
        <f t="shared" si="6"/>
        <v>1125.5057439570387</v>
      </c>
      <c r="J17" s="55">
        <f t="shared" si="12"/>
        <v>7.5480948037046405</v>
      </c>
      <c r="K17" s="57">
        <f t="shared" si="13"/>
        <v>476.9415453331486</v>
      </c>
      <c r="L17" s="58">
        <f t="shared" si="14"/>
        <v>25.174674333703603</v>
      </c>
      <c r="M17" s="59">
        <f t="shared" si="7"/>
        <v>122.65654056020041</v>
      </c>
      <c r="N17" s="56">
        <f t="shared" si="8"/>
        <v>3008.562625055996</v>
      </c>
      <c r="O17" s="56">
        <f t="shared" si="9"/>
        <v>3443.844026127929</v>
      </c>
      <c r="P17" s="60">
        <f t="shared" si="10"/>
        <v>4240.805240587246</v>
      </c>
      <c r="Q17" s="59">
        <f t="shared" si="11"/>
        <v>10.897904450399881</v>
      </c>
      <c r="R17" s="61">
        <f t="shared" si="15"/>
        <v>0.09026535205325108</v>
      </c>
    </row>
    <row r="18" spans="1:18" ht="12.75">
      <c r="A18" s="54">
        <f t="shared" si="16"/>
        <v>23</v>
      </c>
      <c r="B18" s="54">
        <f t="shared" si="17"/>
        <v>27.500000000000007</v>
      </c>
      <c r="C18" s="55">
        <f t="shared" si="0"/>
        <v>17.87436733564757</v>
      </c>
      <c r="D18" s="55">
        <f t="shared" si="1"/>
        <v>2.5479298590683896</v>
      </c>
      <c r="E18" s="55">
        <f t="shared" si="2"/>
        <v>179.49839991837567</v>
      </c>
      <c r="F18" s="55">
        <f t="shared" si="3"/>
        <v>25.641863063533048</v>
      </c>
      <c r="G18" s="55">
        <f t="shared" si="4"/>
        <v>197.37276725402324</v>
      </c>
      <c r="H18" s="55">
        <f t="shared" si="5"/>
        <v>28.189792922601438</v>
      </c>
      <c r="I18" s="56">
        <f t="shared" si="6"/>
        <v>1444.0297185703187</v>
      </c>
      <c r="J18" s="55">
        <f t="shared" si="12"/>
        <v>7.316256131281878</v>
      </c>
      <c r="K18" s="57">
        <f t="shared" si="13"/>
        <v>492.0549438677519</v>
      </c>
      <c r="L18" s="58">
        <f t="shared" si="14"/>
        <v>25.205646741193327</v>
      </c>
      <c r="M18" s="59">
        <f t="shared" si="7"/>
        <v>118.88916213333052</v>
      </c>
      <c r="N18" s="56">
        <f t="shared" si="8"/>
        <v>2944.5506543101233</v>
      </c>
      <c r="O18" s="56">
        <f t="shared" si="9"/>
        <v>3520.6583910229756</v>
      </c>
      <c r="P18" s="60">
        <f t="shared" si="10"/>
        <v>4375.188542557427</v>
      </c>
      <c r="Q18" s="59">
        <f t="shared" si="11"/>
        <v>8.23315203312009</v>
      </c>
      <c r="R18" s="61">
        <f t="shared" si="15"/>
        <v>0.0903848377341418</v>
      </c>
    </row>
    <row r="19" spans="1:18" ht="12.75">
      <c r="A19" s="54">
        <f t="shared" si="16"/>
        <v>22.5</v>
      </c>
      <c r="B19" s="54">
        <f t="shared" si="17"/>
        <v>28.10000000000001</v>
      </c>
      <c r="C19" s="55">
        <f t="shared" si="0"/>
        <v>22.29468594966104</v>
      </c>
      <c r="D19" s="55">
        <f t="shared" si="1"/>
        <v>3.1714123460013015</v>
      </c>
      <c r="E19" s="55">
        <f t="shared" si="2"/>
        <v>223.31033007904884</v>
      </c>
      <c r="F19" s="55">
        <f t="shared" si="3"/>
        <v>31.871437007811245</v>
      </c>
      <c r="G19" s="55">
        <f t="shared" si="4"/>
        <v>245.60501602870988</v>
      </c>
      <c r="H19" s="55">
        <f t="shared" si="5"/>
        <v>35.04284935381255</v>
      </c>
      <c r="I19" s="56">
        <f t="shared" si="6"/>
        <v>1764.0423682306691</v>
      </c>
      <c r="J19" s="55">
        <f t="shared" si="12"/>
        <v>7.182436241548349</v>
      </c>
      <c r="K19" s="57">
        <f t="shared" si="13"/>
        <v>501.22268808667246</v>
      </c>
      <c r="L19" s="58">
        <f t="shared" si="14"/>
        <v>25.231340316427776</v>
      </c>
      <c r="M19" s="59">
        <f t="shared" si="7"/>
        <v>116.71458892516068</v>
      </c>
      <c r="N19" s="56">
        <f t="shared" si="8"/>
        <v>2880.538683564252</v>
      </c>
      <c r="O19" s="56">
        <f t="shared" si="9"/>
        <v>3597.472755918022</v>
      </c>
      <c r="P19" s="60">
        <f t="shared" si="10"/>
        <v>4456.705068237329</v>
      </c>
      <c r="Q19" s="59">
        <f t="shared" si="11"/>
        <v>6.616314382642928</v>
      </c>
      <c r="R19" s="61">
        <f t="shared" si="15"/>
        <v>0.0905009839234509</v>
      </c>
    </row>
    <row r="20" spans="1:18" ht="12.75">
      <c r="A20" s="54">
        <f t="shared" si="16"/>
        <v>22</v>
      </c>
      <c r="B20" s="54">
        <f t="shared" si="17"/>
        <v>28.70000000000001</v>
      </c>
      <c r="C20" s="55">
        <f t="shared" si="0"/>
        <v>26.73607666508977</v>
      </c>
      <c r="D20" s="55">
        <f t="shared" si="1"/>
        <v>3.795204507385982</v>
      </c>
      <c r="E20" s="55">
        <f t="shared" si="2"/>
        <v>267.0494342364832</v>
      </c>
      <c r="F20" s="55">
        <f t="shared" si="3"/>
        <v>38.08810509639279</v>
      </c>
      <c r="G20" s="55">
        <f t="shared" si="4"/>
        <v>293.78551090157293</v>
      </c>
      <c r="H20" s="55">
        <f t="shared" si="5"/>
        <v>41.88330960377877</v>
      </c>
      <c r="I20" s="56">
        <f t="shared" si="6"/>
        <v>2085.5805502330613</v>
      </c>
      <c r="J20" s="55">
        <f t="shared" si="12"/>
        <v>7.098990497634834</v>
      </c>
      <c r="K20" s="57">
        <f t="shared" si="13"/>
        <v>507.114356780645</v>
      </c>
      <c r="L20" s="58">
        <f t="shared" si="14"/>
        <v>25.251773301846278</v>
      </c>
      <c r="M20" s="59">
        <f t="shared" si="7"/>
        <v>115.35859558656605</v>
      </c>
      <c r="N20" s="56">
        <f t="shared" si="8"/>
        <v>2816.526712818379</v>
      </c>
      <c r="O20" s="56">
        <f t="shared" si="9"/>
        <v>3674.287120813069</v>
      </c>
      <c r="P20" s="60">
        <f t="shared" si="10"/>
        <v>4509.091822374568</v>
      </c>
      <c r="Q20" s="59">
        <f t="shared" si="11"/>
        <v>5.531246231351499</v>
      </c>
      <c r="R20" s="61">
        <f t="shared" si="15"/>
        <v>0.09061376818807015</v>
      </c>
    </row>
    <row r="21" spans="1:18" ht="12.75">
      <c r="A21" s="54">
        <f t="shared" si="16"/>
        <v>21.5</v>
      </c>
      <c r="B21" s="54">
        <f t="shared" si="17"/>
        <v>29.30000000000001</v>
      </c>
      <c r="C21" s="55">
        <f t="shared" si="0"/>
        <v>31.199054357578177</v>
      </c>
      <c r="D21" s="55">
        <f t="shared" si="1"/>
        <v>4.419332293901149</v>
      </c>
      <c r="E21" s="55">
        <f t="shared" si="2"/>
        <v>310.69300826950507</v>
      </c>
      <c r="F21" s="55">
        <f t="shared" si="3"/>
        <v>44.292938213106055</v>
      </c>
      <c r="G21" s="55">
        <f t="shared" si="4"/>
        <v>341.89206262708325</v>
      </c>
      <c r="H21" s="55">
        <f t="shared" si="5"/>
        <v>48.712270507007204</v>
      </c>
      <c r="I21" s="56">
        <f t="shared" si="6"/>
        <v>2408.6815394288365</v>
      </c>
      <c r="J21" s="55">
        <f t="shared" si="12"/>
        <v>7.045151972586424</v>
      </c>
      <c r="K21" s="57">
        <f t="shared" si="13"/>
        <v>510.98968680988787</v>
      </c>
      <c r="L21" s="58">
        <f t="shared" si="14"/>
        <v>25.266968930968815</v>
      </c>
      <c r="M21" s="59">
        <f t="shared" si="7"/>
        <v>114.48371955452939</v>
      </c>
      <c r="N21" s="56">
        <f t="shared" si="8"/>
        <v>2752.514742072507</v>
      </c>
      <c r="O21" s="56">
        <f t="shared" si="9"/>
        <v>3751.1014857081163</v>
      </c>
      <c r="P21" s="60">
        <f t="shared" si="10"/>
        <v>4543.54996521792</v>
      </c>
      <c r="Q21" s="59">
        <f t="shared" si="11"/>
        <v>4.752962053326343</v>
      </c>
      <c r="R21" s="61">
        <f t="shared" si="15"/>
        <v>0.09072318427993277</v>
      </c>
    </row>
    <row r="22" spans="1:18" ht="12.75">
      <c r="A22" s="54">
        <f t="shared" si="16"/>
        <v>21</v>
      </c>
      <c r="B22" s="54">
        <f t="shared" si="17"/>
        <v>29.900000000000013</v>
      </c>
      <c r="C22" s="55">
        <f t="shared" si="0"/>
        <v>35.6841398873753</v>
      </c>
      <c r="D22" s="55">
        <f t="shared" si="1"/>
        <v>5.043821781973426</v>
      </c>
      <c r="E22" s="55">
        <f t="shared" si="2"/>
        <v>354.21861493434534</v>
      </c>
      <c r="F22" s="55">
        <f t="shared" si="3"/>
        <v>50.4869926735269</v>
      </c>
      <c r="G22" s="55">
        <f t="shared" si="4"/>
        <v>389.90275482172063</v>
      </c>
      <c r="H22" s="55">
        <f t="shared" si="5"/>
        <v>55.53081445550033</v>
      </c>
      <c r="I22" s="56">
        <f t="shared" si="6"/>
        <v>2733.383043929774</v>
      </c>
      <c r="J22" s="55">
        <f t="shared" si="12"/>
        <v>7.0104224967058455</v>
      </c>
      <c r="K22" s="57">
        <f t="shared" si="13"/>
        <v>513.5211182623613</v>
      </c>
      <c r="L22" s="58">
        <f t="shared" si="14"/>
        <v>25.27695534671134</v>
      </c>
      <c r="M22" s="59">
        <f t="shared" si="7"/>
        <v>113.91936557147</v>
      </c>
      <c r="N22" s="56">
        <f t="shared" si="8"/>
        <v>2688.502771326635</v>
      </c>
      <c r="O22" s="56">
        <f t="shared" si="9"/>
        <v>3827.915850603162</v>
      </c>
      <c r="P22" s="60">
        <f t="shared" si="10"/>
        <v>4566.058609882829</v>
      </c>
      <c r="Q22" s="59">
        <f t="shared" si="11"/>
        <v>4.167705870000883</v>
      </c>
      <c r="R22" s="61">
        <f t="shared" si="15"/>
        <v>0.09082924195205704</v>
      </c>
    </row>
    <row r="23" spans="1:18" ht="12.75">
      <c r="A23" s="54">
        <f t="shared" si="16"/>
        <v>20.5</v>
      </c>
      <c r="B23" s="54">
        <f t="shared" si="17"/>
        <v>30.500000000000014</v>
      </c>
      <c r="C23" s="55">
        <f t="shared" si="0"/>
        <v>40.19186032074413</v>
      </c>
      <c r="D23" s="55">
        <f t="shared" si="1"/>
        <v>5.668699181490385</v>
      </c>
      <c r="E23" s="55">
        <f t="shared" si="2"/>
        <v>397.6040748787984</v>
      </c>
      <c r="F23" s="55">
        <f t="shared" si="3"/>
        <v>56.67130493551777</v>
      </c>
      <c r="G23" s="55">
        <f t="shared" si="4"/>
        <v>437.7959351995425</v>
      </c>
      <c r="H23" s="55">
        <f t="shared" si="5"/>
        <v>62.34000411700815</v>
      </c>
      <c r="I23" s="56">
        <f t="shared" si="6"/>
        <v>3059.7232211372047</v>
      </c>
      <c r="J23" s="55">
        <f t="shared" si="12"/>
        <v>6.98892560467154</v>
      </c>
      <c r="K23" s="57">
        <f t="shared" si="13"/>
        <v>515.100632577014</v>
      </c>
      <c r="L23" s="58">
        <f t="shared" si="14"/>
        <v>25.281765521865868</v>
      </c>
      <c r="M23" s="59">
        <f t="shared" si="7"/>
        <v>113.57004107591251</v>
      </c>
      <c r="N23" s="56">
        <f t="shared" si="8"/>
        <v>2624.490800580763</v>
      </c>
      <c r="O23" s="56">
        <f t="shared" si="9"/>
        <v>3904.7302154982094</v>
      </c>
      <c r="P23" s="60">
        <f t="shared" si="10"/>
        <v>4580.1031246639495</v>
      </c>
      <c r="Q23" s="59">
        <f t="shared" si="11"/>
        <v>3.711774983153608</v>
      </c>
      <c r="R23" s="61">
        <f t="shared" si="15"/>
        <v>0.09093196674884081</v>
      </c>
    </row>
    <row r="24" spans="1:18" s="69" customFormat="1" ht="12.75">
      <c r="A24" s="62">
        <f t="shared" si="16"/>
        <v>20</v>
      </c>
      <c r="B24" s="54">
        <f t="shared" si="17"/>
        <v>31.100000000000016</v>
      </c>
      <c r="C24" s="63">
        <f t="shared" si="0"/>
        <v>44.722749156074165</v>
      </c>
      <c r="D24" s="63">
        <f t="shared" si="1"/>
        <v>6.293990843627711</v>
      </c>
      <c r="E24" s="63">
        <f t="shared" si="2"/>
        <v>440.8274582276372</v>
      </c>
      <c r="F24" s="63">
        <f t="shared" si="3"/>
        <v>62.84688647381114</v>
      </c>
      <c r="G24" s="64">
        <f t="shared" si="4"/>
        <v>485.5502073837113</v>
      </c>
      <c r="H24" s="63">
        <f t="shared" si="5"/>
        <v>69.14087731743885</v>
      </c>
      <c r="I24" s="65">
        <f t="shared" si="6"/>
        <v>3387.740694111619</v>
      </c>
      <c r="J24" s="63">
        <f t="shared" si="12"/>
        <v>6.977117180869455</v>
      </c>
      <c r="K24" s="66">
        <f t="shared" si="13"/>
        <v>515.9724147776725</v>
      </c>
      <c r="L24" s="67">
        <f t="shared" si="14"/>
        <v>25.281437181597372</v>
      </c>
      <c r="M24" s="59">
        <f t="shared" si="7"/>
        <v>113.37815418912865</v>
      </c>
      <c r="N24" s="56">
        <f t="shared" si="8"/>
        <v>2560.4788298348903</v>
      </c>
      <c r="O24" s="68">
        <f t="shared" si="9"/>
        <v>3981.544580393256</v>
      </c>
      <c r="P24" s="60">
        <f t="shared" si="10"/>
        <v>4587.854721398137</v>
      </c>
      <c r="Q24" s="59">
        <f t="shared" si="11"/>
        <v>3.346718784769926</v>
      </c>
      <c r="R24" s="61">
        <f t="shared" si="15"/>
        <v>0.09103139977137993</v>
      </c>
    </row>
    <row r="25" spans="1:18" ht="12.75">
      <c r="A25" s="54">
        <f t="shared" si="16"/>
        <v>19.5</v>
      </c>
      <c r="B25" s="54">
        <f t="shared" si="17"/>
        <v>31.700000000000017</v>
      </c>
      <c r="C25" s="55">
        <f t="shared" si="0"/>
        <v>49.277346554916754</v>
      </c>
      <c r="D25" s="55">
        <f t="shared" si="1"/>
        <v>6.919723268797577</v>
      </c>
      <c r="E25" s="55">
        <f t="shared" si="2"/>
        <v>483.86707697043767</v>
      </c>
      <c r="F25" s="55">
        <f t="shared" si="3"/>
        <v>69.01471881930043</v>
      </c>
      <c r="G25" s="55">
        <f t="shared" si="4"/>
        <v>533.1444235253545</v>
      </c>
      <c r="H25" s="55">
        <f t="shared" si="5"/>
        <v>75.93444208809801</v>
      </c>
      <c r="I25" s="56">
        <f t="shared" si="6"/>
        <v>3717.474568298661</v>
      </c>
      <c r="J25" s="55">
        <f t="shared" si="12"/>
        <v>6.972734599224165</v>
      </c>
      <c r="K25" s="57">
        <f t="shared" si="13"/>
        <v>516.2967195683256</v>
      </c>
      <c r="L25" s="58">
        <f t="shared" si="14"/>
        <v>25.27601272772255</v>
      </c>
      <c r="M25" s="59">
        <f t="shared" si="7"/>
        <v>113.30693723739269</v>
      </c>
      <c r="N25" s="56">
        <f t="shared" si="8"/>
        <v>2496.466859089018</v>
      </c>
      <c r="O25" s="56">
        <f t="shared" si="9"/>
        <v>4058.358945288303</v>
      </c>
      <c r="P25" s="60">
        <f t="shared" si="10"/>
        <v>4590.738331495028</v>
      </c>
      <c r="Q25" s="59">
        <f t="shared" si="11"/>
        <v>3.047954603472882</v>
      </c>
      <c r="R25" s="61">
        <f t="shared" si="15"/>
        <v>0.09112759741843389</v>
      </c>
    </row>
    <row r="26" spans="1:18" ht="12.75">
      <c r="A26" s="54">
        <f t="shared" si="16"/>
        <v>19</v>
      </c>
      <c r="B26" s="54">
        <f t="shared" si="17"/>
        <v>32.30000000000002</v>
      </c>
      <c r="C26" s="55">
        <f t="shared" si="0"/>
        <v>53.85619957817458</v>
      </c>
      <c r="D26" s="55">
        <f t="shared" si="1"/>
        <v>7.5459231147242765</v>
      </c>
      <c r="E26" s="55">
        <f t="shared" si="2"/>
        <v>526.7014783674493</v>
      </c>
      <c r="F26" s="55">
        <f t="shared" si="3"/>
        <v>75.17574876411257</v>
      </c>
      <c r="G26" s="55">
        <f t="shared" si="4"/>
        <v>580.5576779456239</v>
      </c>
      <c r="H26" s="55">
        <f t="shared" si="5"/>
        <v>82.72167187883684</v>
      </c>
      <c r="I26" s="56">
        <f t="shared" si="6"/>
        <v>4048.9644486282637</v>
      </c>
      <c r="J26" s="55">
        <f t="shared" si="12"/>
        <v>6.974267333705811</v>
      </c>
      <c r="K26" s="57">
        <f t="shared" si="13"/>
        <v>516.1832530567942</v>
      </c>
      <c r="L26" s="58">
        <f t="shared" si="14"/>
        <v>25.265539164458605</v>
      </c>
      <c r="M26" s="59">
        <f t="shared" si="7"/>
        <v>113.33184417271943</v>
      </c>
      <c r="N26" s="56">
        <f t="shared" si="8"/>
        <v>2432.4548883431457</v>
      </c>
      <c r="O26" s="56">
        <f t="shared" si="9"/>
        <v>4135.17331018335</v>
      </c>
      <c r="P26" s="60">
        <f t="shared" si="10"/>
        <v>4589.729425096662</v>
      </c>
      <c r="Q26" s="59">
        <f t="shared" si="11"/>
        <v>2.799032829520516</v>
      </c>
      <c r="R26" s="61">
        <f t="shared" si="15"/>
        <v>0.09122063110350158</v>
      </c>
    </row>
    <row r="27" spans="1:18" ht="12.75">
      <c r="A27" s="54">
        <f t="shared" si="16"/>
        <v>18.5</v>
      </c>
      <c r="B27" s="54">
        <f t="shared" si="17"/>
        <v>32.90000000000002</v>
      </c>
      <c r="C27" s="55">
        <f t="shared" si="0"/>
        <v>58.459862427679724</v>
      </c>
      <c r="D27" s="55">
        <f t="shared" si="1"/>
        <v>8.172617204654829</v>
      </c>
      <c r="E27" s="55">
        <f t="shared" si="2"/>
        <v>569.3094395732198</v>
      </c>
      <c r="F27" s="55">
        <f t="shared" si="3"/>
        <v>81.33088373414267</v>
      </c>
      <c r="G27" s="70">
        <f t="shared" si="4"/>
        <v>627.7693020008995</v>
      </c>
      <c r="H27" s="55">
        <f t="shared" si="5"/>
        <v>89.5035009387975</v>
      </c>
      <c r="I27" s="56">
        <f t="shared" si="6"/>
        <v>4382.2504570038955</v>
      </c>
      <c r="J27" s="55">
        <f t="shared" si="12"/>
        <v>6.9806701968960185</v>
      </c>
      <c r="K27" s="57">
        <f t="shared" si="13"/>
        <v>515.709795543808</v>
      </c>
      <c r="L27" s="58">
        <f t="shared" si="14"/>
        <v>25.250068025256414</v>
      </c>
      <c r="M27" s="59">
        <f t="shared" si="7"/>
        <v>113.4358906995603</v>
      </c>
      <c r="N27" s="56">
        <f t="shared" si="8"/>
        <v>2368.442917597273</v>
      </c>
      <c r="O27" s="71">
        <f t="shared" si="9"/>
        <v>4211.987675078397</v>
      </c>
      <c r="P27" s="60">
        <f t="shared" si="10"/>
        <v>4585.51959871036</v>
      </c>
      <c r="Q27" s="59">
        <f t="shared" si="11"/>
        <v>2.5885305235866274</v>
      </c>
      <c r="R27" s="61">
        <f t="shared" si="15"/>
        <v>0.09131058694836156</v>
      </c>
    </row>
    <row r="28" spans="1:18" ht="12.75">
      <c r="A28" s="72">
        <f t="shared" si="16"/>
        <v>18</v>
      </c>
      <c r="B28" s="54">
        <f t="shared" si="17"/>
        <v>33.50000000000002</v>
      </c>
      <c r="C28" s="55">
        <f t="shared" si="0"/>
        <v>63.08889669340432</v>
      </c>
      <c r="D28" s="55">
        <f t="shared" si="1"/>
        <v>8.799832535711246</v>
      </c>
      <c r="E28" s="55">
        <f t="shared" si="2"/>
        <v>611.6699636613138</v>
      </c>
      <c r="F28" s="55">
        <f t="shared" si="3"/>
        <v>87.48098733150205</v>
      </c>
      <c r="G28" s="55">
        <f t="shared" si="4"/>
        <v>674.7588603547181</v>
      </c>
      <c r="H28" s="55">
        <f t="shared" si="5"/>
        <v>96.2808198672133</v>
      </c>
      <c r="I28" s="56">
        <f t="shared" si="6"/>
        <v>4717.373250199584</v>
      </c>
      <c r="J28" s="55">
        <f t="shared" si="12"/>
        <v>6.9911986746193735</v>
      </c>
      <c r="K28" s="57">
        <f t="shared" si="13"/>
        <v>514.9331563225812</v>
      </c>
      <c r="L28" s="58">
        <f t="shared" si="14"/>
        <v>25.229655300267986</v>
      </c>
      <c r="M28" s="59">
        <f t="shared" si="7"/>
        <v>113.60697846256483</v>
      </c>
      <c r="N28" s="56">
        <f t="shared" si="8"/>
        <v>2304.430946851401</v>
      </c>
      <c r="O28" s="56">
        <f t="shared" si="9"/>
        <v>4288.802039973444</v>
      </c>
      <c r="P28" s="60">
        <f t="shared" si="10"/>
        <v>4578.613981634951</v>
      </c>
      <c r="Q28" s="59">
        <f t="shared" si="11"/>
        <v>2.4082677464149844</v>
      </c>
      <c r="R28" s="61">
        <f t="shared" si="15"/>
        <v>0.09139756545330241</v>
      </c>
    </row>
    <row r="29" spans="1:18" ht="12.75">
      <c r="A29" s="54">
        <f t="shared" si="16"/>
        <v>17.5</v>
      </c>
      <c r="B29" s="54">
        <f t="shared" si="17"/>
        <v>34.10000000000002</v>
      </c>
      <c r="C29" s="55">
        <f t="shared" si="0"/>
        <v>67.74387160656046</v>
      </c>
      <c r="D29" s="55">
        <f t="shared" si="1"/>
        <v>9.427596287392046</v>
      </c>
      <c r="E29" s="55">
        <f t="shared" si="2"/>
        <v>653.7622772166748</v>
      </c>
      <c r="F29" s="55">
        <f t="shared" si="3"/>
        <v>93.62687505024026</v>
      </c>
      <c r="G29" s="55">
        <f t="shared" si="4"/>
        <v>721.5061488232352</v>
      </c>
      <c r="H29" s="55">
        <f t="shared" si="5"/>
        <v>103.05447133763231</v>
      </c>
      <c r="I29" s="56">
        <f t="shared" si="6"/>
        <v>5054.374038183283</v>
      </c>
      <c r="J29" s="55">
        <f t="shared" si="12"/>
        <v>7.005309721097852</v>
      </c>
      <c r="K29" s="57">
        <f t="shared" si="13"/>
        <v>513.8959080078787</v>
      </c>
      <c r="L29" s="58">
        <f t="shared" si="14"/>
        <v>25.2043613639416</v>
      </c>
      <c r="M29" s="59">
        <f t="shared" si="7"/>
        <v>113.83628296784009</v>
      </c>
      <c r="N29" s="56">
        <f t="shared" si="8"/>
        <v>2240.4189761055295</v>
      </c>
      <c r="O29" s="56">
        <f t="shared" si="9"/>
        <v>4365.6164048684905</v>
      </c>
      <c r="P29" s="60">
        <f t="shared" si="10"/>
        <v>4569.391115370055</v>
      </c>
      <c r="Q29" s="59">
        <f t="shared" si="11"/>
        <v>2.2522330580970773</v>
      </c>
      <c r="R29" s="61">
        <f t="shared" si="15"/>
        <v>0.09148168114418709</v>
      </c>
    </row>
    <row r="30" spans="1:18" ht="12.75">
      <c r="A30" s="54">
        <f t="shared" si="16"/>
        <v>17</v>
      </c>
      <c r="B30" s="54">
        <f t="shared" si="17"/>
        <v>34.700000000000024</v>
      </c>
      <c r="C30" s="55">
        <f t="shared" si="0"/>
        <v>72.42536429884547</v>
      </c>
      <c r="D30" s="55">
        <f t="shared" si="1"/>
        <v>10.05593583023066</v>
      </c>
      <c r="E30" s="55">
        <f t="shared" si="2"/>
        <v>695.5658296448177</v>
      </c>
      <c r="F30" s="55">
        <f t="shared" si="3"/>
        <v>99.76931016972256</v>
      </c>
      <c r="G30" s="55">
        <f t="shared" si="4"/>
        <v>767.9911939436631</v>
      </c>
      <c r="H30" s="55">
        <f t="shared" si="5"/>
        <v>109.82524599995321</v>
      </c>
      <c r="I30" s="56">
        <f t="shared" si="6"/>
        <v>5393.294602885167</v>
      </c>
      <c r="J30" s="55">
        <f t="shared" si="12"/>
        <v>7.022599536838958</v>
      </c>
      <c r="K30" s="57">
        <f t="shared" si="13"/>
        <v>512.6306834264462</v>
      </c>
      <c r="L30" s="58">
        <f t="shared" si="14"/>
        <v>25.174250902186596</v>
      </c>
      <c r="M30" s="59">
        <f t="shared" si="7"/>
        <v>114.11724247363307</v>
      </c>
      <c r="N30" s="56">
        <f t="shared" si="8"/>
        <v>2176.4070053596565</v>
      </c>
      <c r="O30" s="56">
        <f t="shared" si="9"/>
        <v>4442.430769763538</v>
      </c>
      <c r="P30" s="60">
        <f t="shared" si="10"/>
        <v>4558.141160133485</v>
      </c>
      <c r="Q30" s="59">
        <f t="shared" si="11"/>
        <v>2.1159096781508198</v>
      </c>
      <c r="R30" s="61">
        <f t="shared" si="15"/>
        <v>0.09156306219641833</v>
      </c>
    </row>
    <row r="31" spans="1:18" ht="12.75">
      <c r="A31" s="54">
        <f t="shared" si="16"/>
        <v>16.5</v>
      </c>
      <c r="B31" s="54">
        <f t="shared" si="17"/>
        <v>35.300000000000026</v>
      </c>
      <c r="C31" s="55">
        <f t="shared" si="0"/>
        <v>77.13396006811229</v>
      </c>
      <c r="D31" s="55">
        <f t="shared" si="1"/>
        <v>10.684878734618762</v>
      </c>
      <c r="E31" s="55">
        <f t="shared" si="2"/>
        <v>737.0602943291833</v>
      </c>
      <c r="F31" s="55">
        <f t="shared" si="3"/>
        <v>105.90899983114474</v>
      </c>
      <c r="G31" s="55">
        <f t="shared" si="4"/>
        <v>814.1942543972956</v>
      </c>
      <c r="H31" s="55">
        <f t="shared" si="5"/>
        <v>116.5938785657635</v>
      </c>
      <c r="I31" s="56">
        <f t="shared" si="6"/>
        <v>5734.177317431046</v>
      </c>
      <c r="J31" s="55">
        <f t="shared" si="12"/>
        <v>7.04276318146675</v>
      </c>
      <c r="K31" s="57">
        <f t="shared" si="13"/>
        <v>511.16300622936063</v>
      </c>
      <c r="L31" s="58">
        <f t="shared" si="14"/>
        <v>25.139392838510037</v>
      </c>
      <c r="M31" s="59">
        <f t="shared" si="7"/>
        <v>114.44490169883468</v>
      </c>
      <c r="N31" s="56">
        <f t="shared" si="8"/>
        <v>2112.3950346137844</v>
      </c>
      <c r="O31" s="56">
        <f t="shared" si="9"/>
        <v>4519.245134658585</v>
      </c>
      <c r="P31" s="60">
        <f t="shared" si="10"/>
        <v>4545.091063722732</v>
      </c>
      <c r="Q31" s="59">
        <f t="shared" si="11"/>
        <v>1.9958382059609356</v>
      </c>
      <c r="R31" s="61">
        <f t="shared" si="15"/>
        <v>0.0916418500358239</v>
      </c>
    </row>
    <row r="32" spans="1:18" ht="12.75">
      <c r="A32" s="54">
        <f t="shared" si="16"/>
        <v>16</v>
      </c>
      <c r="B32" s="54">
        <f t="shared" si="17"/>
        <v>35.90000000000003</v>
      </c>
      <c r="C32" s="55">
        <f t="shared" si="0"/>
        <v>81.87025265074033</v>
      </c>
      <c r="D32" s="55">
        <f t="shared" si="1"/>
        <v>11.314452779802414</v>
      </c>
      <c r="E32" s="55">
        <f t="shared" si="2"/>
        <v>778.2255717494174</v>
      </c>
      <c r="F32" s="55">
        <f t="shared" si="3"/>
        <v>112.04659130382005</v>
      </c>
      <c r="G32" s="55">
        <f t="shared" si="4"/>
        <v>860.0958244001578</v>
      </c>
      <c r="H32" s="55">
        <f t="shared" si="5"/>
        <v>123.36104408362246</v>
      </c>
      <c r="I32" s="56">
        <f t="shared" si="6"/>
        <v>6077.065165860888</v>
      </c>
      <c r="J32" s="55">
        <f t="shared" si="12"/>
        <v>7.065567572193614</v>
      </c>
      <c r="K32" s="57">
        <f t="shared" si="13"/>
        <v>509.5132079930452</v>
      </c>
      <c r="L32" s="58">
        <f t="shared" si="14"/>
        <v>25.09986025849178</v>
      </c>
      <c r="M32" s="59">
        <f t="shared" si="7"/>
        <v>114.81547304814623</v>
      </c>
      <c r="N32" s="56">
        <f t="shared" si="8"/>
        <v>2048.383063867912</v>
      </c>
      <c r="O32" s="56">
        <f t="shared" si="9"/>
        <v>4596.059499553632</v>
      </c>
      <c r="P32" s="60">
        <f t="shared" si="10"/>
        <v>4530.42160773816</v>
      </c>
      <c r="Q32" s="59">
        <f t="shared" si="11"/>
        <v>1.889324368169438</v>
      </c>
      <c r="R32" s="61">
        <f t="shared" si="15"/>
        <v>0.09171819891644815</v>
      </c>
    </row>
    <row r="33" spans="1:18" ht="12.75">
      <c r="A33" s="54">
        <f t="shared" si="16"/>
        <v>15.5</v>
      </c>
      <c r="B33" s="54">
        <f t="shared" si="17"/>
        <v>36.50000000000003</v>
      </c>
      <c r="C33" s="55">
        <f t="shared" si="0"/>
        <v>86.63484450100464</v>
      </c>
      <c r="D33" s="55">
        <f t="shared" si="1"/>
        <v>11.944685963059783</v>
      </c>
      <c r="E33" s="55">
        <f t="shared" si="2"/>
        <v>819.0417946541837</v>
      </c>
      <c r="F33" s="55">
        <f t="shared" si="3"/>
        <v>118.18266844904714</v>
      </c>
      <c r="G33" s="55">
        <f t="shared" si="4"/>
        <v>905.6766391551884</v>
      </c>
      <c r="H33" s="55">
        <f t="shared" si="5"/>
        <v>130.1273544121069</v>
      </c>
      <c r="I33" s="56">
        <f t="shared" si="6"/>
        <v>6422.00176335398</v>
      </c>
      <c r="J33" s="55">
        <f t="shared" si="12"/>
        <v>7.090832959260601</v>
      </c>
      <c r="K33" s="57">
        <f t="shared" si="13"/>
        <v>507.69775859667</v>
      </c>
      <c r="L33" s="58">
        <f t="shared" si="14"/>
        <v>25.055730331941113</v>
      </c>
      <c r="M33" s="59">
        <f t="shared" si="7"/>
        <v>115.22603558798477</v>
      </c>
      <c r="N33" s="56">
        <f t="shared" si="8"/>
        <v>1984.37109312204</v>
      </c>
      <c r="O33" s="56">
        <f t="shared" si="9"/>
        <v>4672.873864448678</v>
      </c>
      <c r="P33" s="60">
        <f t="shared" si="10"/>
        <v>4514.27923685539</v>
      </c>
      <c r="Q33" s="59">
        <f t="shared" si="11"/>
        <v>1.794238616462266</v>
      </c>
      <c r="R33" s="61">
        <f t="shared" si="15"/>
        <v>0.09179227547523598</v>
      </c>
    </row>
    <row r="34" spans="1:18" ht="12.75">
      <c r="A34" s="54">
        <f t="shared" si="16"/>
        <v>15</v>
      </c>
      <c r="B34" s="54">
        <f t="shared" si="17"/>
        <v>37.10000000000003</v>
      </c>
      <c r="C34" s="55">
        <f t="shared" si="0"/>
        <v>91.42834707774558</v>
      </c>
      <c r="D34" s="55">
        <f t="shared" si="1"/>
        <v>12.575606509069056</v>
      </c>
      <c r="E34" s="55">
        <f t="shared" si="2"/>
        <v>859.4893353621609</v>
      </c>
      <c r="F34" s="55">
        <f t="shared" si="3"/>
        <v>124.31774839053317</v>
      </c>
      <c r="G34" s="55">
        <f t="shared" si="4"/>
        <v>950.9176824399065</v>
      </c>
      <c r="H34" s="55">
        <f t="shared" si="5"/>
        <v>136.89335489960223</v>
      </c>
      <c r="I34" s="56">
        <f t="shared" si="6"/>
        <v>6769.0313769826225</v>
      </c>
      <c r="J34" s="55">
        <f t="shared" si="12"/>
        <v>7.118419924229765</v>
      </c>
      <c r="K34" s="57">
        <f t="shared" si="13"/>
        <v>505.73020955764014</v>
      </c>
      <c r="L34" s="58">
        <f t="shared" si="14"/>
        <v>25.007084232060198</v>
      </c>
      <c r="M34" s="59">
        <f t="shared" si="7"/>
        <v>115.67432376873369</v>
      </c>
      <c r="N34" s="56">
        <f t="shared" si="8"/>
        <v>1920.3591223761678</v>
      </c>
      <c r="O34" s="56">
        <f t="shared" si="9"/>
        <v>4749.688229343725</v>
      </c>
      <c r="P34" s="60">
        <f t="shared" si="10"/>
        <v>4496.784446650016</v>
      </c>
      <c r="Q34" s="59">
        <f t="shared" si="11"/>
        <v>1.7088755735727865</v>
      </c>
      <c r="R34" s="61">
        <f t="shared" si="15"/>
        <v>0.09186425826360982</v>
      </c>
    </row>
    <row r="35" ht="12.75">
      <c r="L35" t="s">
        <v>64</v>
      </c>
    </row>
    <row r="37" ht="12.75">
      <c r="A37" t="s">
        <v>65</v>
      </c>
    </row>
  </sheetData>
  <sheetProtection selectLockedCells="1" selectUnlockedCells="1"/>
  <mergeCells count="8">
    <mergeCell ref="A4:B4"/>
    <mergeCell ref="C4:D4"/>
    <mergeCell ref="G4:H4"/>
    <mergeCell ref="J4:K4"/>
    <mergeCell ref="E5:F5"/>
    <mergeCell ref="L6:M6"/>
    <mergeCell ref="A9:B9"/>
    <mergeCell ref="G9:H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Rochelle</dc:creator>
  <cp:keywords/>
  <dc:description/>
  <cp:lastModifiedBy>Pierre Rochelle</cp:lastModifiedBy>
  <cp:lastPrinted>2011-07-14T11:55:56Z</cp:lastPrinted>
  <dcterms:created xsi:type="dcterms:W3CDTF">2011-01-30T07:54:51Z</dcterms:created>
  <dcterms:modified xsi:type="dcterms:W3CDTF">2012-07-03T16:49:30Z</dcterms:modified>
  <cp:category/>
  <cp:version/>
  <cp:contentType/>
  <cp:contentStatus/>
</cp:coreProperties>
</file>